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28.xml"/>
  <Override ContentType="application/vnd.openxmlformats-officedocument.spreadsheetml.worksheet+xml" PartName="/xl/worksheets/sheet23.xml"/>
  <Override ContentType="application/vnd.openxmlformats-officedocument.spreadsheetml.worksheet+xml" PartName="/xl/worksheets/sheet10.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3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29.xml"/>
  <Override ContentType="application/vnd.openxmlformats-officedocument.spreadsheetml.worksheet+xml" PartName="/xl/worksheets/sheet20.xml"/>
  <Override ContentType="application/vnd.openxmlformats-officedocument.spreadsheetml.worksheet+xml" PartName="/xl/worksheets/sheet1.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4.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25.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30.xml"/>
  <Override ContentType="application/vnd.openxmlformats-officedocument.spreadsheetml.worksheet+xml" PartName="/xl/worksheets/sheet27.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8.xml"/>
  <Override ContentType="application/vnd.openxmlformats-officedocument.spreadsheetml.worksheet+xml" PartName="/xl/worksheets/sheet26.xml"/>
  <Override ContentType="application/vnd.openxmlformats-officedocument.spreadsheetml.worksheet+xml" PartName="/xl/worksheets/sheet31.xml"/>
  <Override ContentType="application/vnd.openxmlformats-officedocument.spreadsheetml.worksheet+xml" PartName="/xl/worksheets/sheet3.xml"/>
  <Override ContentType="application/vnd.openxmlformats-officedocument.spreadsheetml.worksheet+xml" PartName="/xl/worksheets/sheet22.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26.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5.xml"/>
  <Override ContentType="application/vnd.openxmlformats-officedocument.drawing+xml" PartName="/xl/drawings/drawing30.xml"/>
  <Override ContentType="application/vnd.openxmlformats-officedocument.drawing+xml" PartName="/xl/drawings/drawing21.xml"/>
  <Override ContentType="application/vnd.openxmlformats-officedocument.drawing+xml" PartName="/xl/drawings/drawing27.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31.xml"/>
  <Override ContentType="application/vnd.openxmlformats-officedocument.drawing+xml" PartName="/xl/drawings/drawing22.xml"/>
  <Override ContentType="application/vnd.openxmlformats-officedocument.drawing+xml" PartName="/xl/drawings/drawing10.xml"/>
  <Override ContentType="application/vnd.openxmlformats-officedocument.drawing+xml" PartName="/xl/drawings/drawing28.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32.xml"/>
  <Override ContentType="application/vnd.openxmlformats-officedocument.drawing+xml" PartName="/xl/drawings/drawing23.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29.xml"/>
  <Override ContentType="application/vnd.openxmlformats-officedocument.drawing+xml" PartName="/xl/drawings/drawing24.xml"/>
  <Override ContentType="application/vnd.openxmlformats-officedocument.drawing+xml" PartName="/xl/drawings/drawing11.xml"/>
  <Override ContentType="application/vnd.openxmlformats-officedocument.drawing+xml" PartName="/xl/drawings/drawing20.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Note" sheetId="1" r:id="rId5"/>
    <sheet state="visible" name="Project Overview" sheetId="2" r:id="rId6"/>
    <sheet state="visible" name="Phase 1B - Senior Project &gt;&gt;" sheetId="3" r:id="rId7"/>
    <sheet state="visible" name="Sources &amp; Uses (P1B)" sheetId="4" r:id="rId8"/>
    <sheet state="visible" name="Income &amp; Expenses (P1B)" sheetId="5" r:id="rId9"/>
    <sheet state="visible" name="Cash Flow (P1B)" sheetId="6" r:id="rId10"/>
    <sheet state="visible" name="Loan Sizing (P1B)" sheetId="7" r:id="rId11"/>
    <sheet state="visible" name="Assumptions (P1B)" sheetId="8" r:id="rId12"/>
    <sheet state="visible" name="Phase 2 - Aff. Large Family &gt;&gt;" sheetId="9" r:id="rId13"/>
    <sheet state="visible" name="Sources &amp; Uses (P2)" sheetId="10" r:id="rId14"/>
    <sheet state="visible" name="Income &amp; Expenses (P2)" sheetId="11" r:id="rId15"/>
    <sheet state="visible" name="Cash Flow (P2)" sheetId="12" r:id="rId16"/>
    <sheet state="visible" name="Loan Sizing (P2)" sheetId="13" r:id="rId17"/>
    <sheet state="visible" name="Assumptions (P2)" sheetId="14" r:id="rId18"/>
    <sheet state="visible" name="Phase 3 - Affordable General &gt;&gt;" sheetId="15" r:id="rId19"/>
    <sheet state="visible" name="Sources &amp; Uses (P3)" sheetId="16" r:id="rId20"/>
    <sheet state="visible" name="Income &amp; Expenses (P3)" sheetId="17" r:id="rId21"/>
    <sheet state="visible" name="Cash Flow (P3)" sheetId="18" r:id="rId22"/>
    <sheet state="visible" name="Loan Sizing (P3)" sheetId="19" r:id="rId23"/>
    <sheet state="visible" name="Assumptions (P3)" sheetId="20" r:id="rId24"/>
    <sheet state="visible" name="Phase 3 - RTO Townhomes" sheetId="21" r:id="rId25"/>
    <sheet state="visible" name="Sources &amp; Uses (P3RTO)" sheetId="22" r:id="rId26"/>
    <sheet state="visible" name="Income &amp; Expenses (P3RTO)" sheetId="23" r:id="rId27"/>
    <sheet state="visible" name="Cash Flow (P3RTO)" sheetId="24" r:id="rId28"/>
    <sheet state="visible" name="Loan Sizing (P3RTO)" sheetId="25" r:id="rId29"/>
    <sheet state="visible" name="Assumptions (P3RTO)" sheetId="26" r:id="rId30"/>
    <sheet state="visible" name="Data Validation" sheetId="27" r:id="rId31"/>
    <sheet state="visible" name="References &gt;&gt;" sheetId="28" r:id="rId32"/>
    <sheet state="visible" name="Development Comps" sheetId="29" r:id="rId33"/>
    <sheet state="visible" name="OpEx Comps" sheetId="30" r:id="rId34"/>
    <sheet state="visible" name="Sec 42 Rent Limits" sheetId="31" r:id="rId35"/>
    <sheet state="visible" name="DCHA Utility Allowances" sheetId="32" r:id="rId36"/>
  </sheets>
  <definedNames>
    <definedName name="totalopex_three">'Income &amp; Expenses (P3)'!$C$127</definedName>
    <definedName name="unit_two">'Income &amp; Expenses (P2)'!$C$38</definedName>
    <definedName name="egi_three">'Income &amp; Expenses (P3)'!$D$75</definedName>
    <definedName name="debtservtotal">'Sources &amp; Uses (P1B)'!$G$30</definedName>
    <definedName name="totalopex_two">'Income &amp; Expenses (P2)'!$C$127</definedName>
    <definedName name="noi_three_rto">'Income &amp; Expenses (P3RTO)'!$C$6</definedName>
    <definedName name="debtservtotal_three">'Sources &amp; Uses (P3)'!$G$30</definedName>
    <definedName name="totalopex_three_rto">'Income &amp; Expenses (P3RTO)'!$C$127</definedName>
    <definedName name="noi">'Income &amp; Expenses (P1B)'!$C$6</definedName>
    <definedName name="unit_three_rto">'Income &amp; Expenses (P3RTO)'!$C$38</definedName>
    <definedName name="egi">'Income &amp; Expenses (P1B)'!$D$75</definedName>
    <definedName name="noi_two">'Income &amp; Expenses (P2)'!$C$6</definedName>
    <definedName name="noi_three">'Income &amp; Expenses (P3)'!$C$6</definedName>
    <definedName name="egi_two">'Income &amp; Expenses (P2)'!$D$75</definedName>
    <definedName name="unit_three">'Income &amp; Expenses (P3)'!$C$38</definedName>
    <definedName name="egi_three_rto">'Income &amp; Expenses (P3RTO)'!$D$75</definedName>
    <definedName name="unit">'Income &amp; Expenses (P1B)'!$C$38</definedName>
    <definedName name="debtservtotal_two">'Sources &amp; Uses (P2)'!$G$30</definedName>
    <definedName name="totalopex">'Income &amp; Expenses (P1B)'!$C$128</definedName>
    <definedName name="debtservtotal_three_rto">'Sources &amp; Uses (P3RTO)'!$G$30</definedName>
  </definedNames>
  <calcPr/>
</workbook>
</file>

<file path=xl/sharedStrings.xml><?xml version="1.0" encoding="utf-8"?>
<sst xmlns="http://schemas.openxmlformats.org/spreadsheetml/2006/main" count="2985" uniqueCount="807">
  <si>
    <t>WORK SAMPLE — DEVELOPMENT FINANCE &amp; PROFORMA MODELING</t>
  </si>
  <si>
    <t>Romnes Commons</t>
  </si>
  <si>
    <t>2024 HUD Innovation in Affordable Housing Student Design + Planning Competition — National Finalist (Top 4)</t>
  </si>
  <si>
    <t xml:space="preserve">Romnes Commons was a team submission to the 2024 HUD Innovation in Affordable Housing Student Design and Planning Competition (UC Berkeley, Team #370). Amba Gupta was responsible for development proformas, underwriting, subsidy structuring, and financing strategy across all components. </t>
  </si>
  <si>
    <t>Project Overview</t>
  </si>
  <si>
    <t>Romnes Commons was a phased mixed-income redevelopment proposal for the Romnes Apartments public housing site in Madison, Wisconsin — a 10-acre infill site adjacent to Lake Monona, two miles from downtown. The proposal was submitted to the 2024 HUD Innovation in Affordable Housing Student Design and Planning Competition, in which teams develop a comprehensive redevelopment plan including equity strategy, phasing, design, and financing. Team #370 was selected as a national finalist in the top 4.
The full program comprised 487 units across three phases: 169 public housing replacement units (RAD/Section 18 conversion), 148 large family affordable units, 120 workforce affordable units, 25 Habitat for Humanity homeownership units, 25 rent-to-own townhomes, and a YMCA-operated community center — serving households from 30% to 80% AMI, with pathways to ownership. Total development cost across the four primary components was approximately $127M.</t>
  </si>
  <si>
    <t>My Role</t>
  </si>
  <si>
    <t>I was responsible for the full financial component of the submission: development proformas, underwriting, subsidy structuring, and financing strategy across all four affordable components. This included building sources and uses budgets and cash flow models for each phase independently — accounting for different capital stacks, subsidy programs, and AMI targeting — as well as the overall development strategy and sequencing rationale.</t>
  </si>
  <si>
    <t>Financial Structure</t>
  </si>
  <si>
    <r>
      <rPr>
        <rFont val="Arial,sans-serif"/>
        <b/>
        <color rgb="FF1F3864"/>
      </rPr>
      <t xml:space="preserve">Phase 1 — Senior (RAD)
</t>
    </r>
    <r>
      <rPr>
        <rFont val="Arial,sans-serif"/>
        <b val="0"/>
        <color rgb="FF000000"/>
      </rPr>
      <t>$45.0M TDC — 169 units (30–60% AMI) — RAD/Section 18 + 4% LIHTC + WHEDA bonds + FHLB AHP + City of Madison AHF</t>
    </r>
  </si>
  <si>
    <r>
      <rPr>
        <rFont val="Arial,sans-serif"/>
        <b/>
        <color rgb="FF1F3864"/>
      </rPr>
      <t xml:space="preserve">Phase 2A — Large Family
</t>
    </r>
    <r>
      <rPr>
        <rFont val="Arial,sans-serif"/>
        <b val="0"/>
        <color rgb="FF000000"/>
      </rPr>
      <t>$40.8M TDC — 148 units (30–80% AMI) — 4% LIHTC + WHEDA bonds + WHEDA subordinate debt + HCD MHP + City of Madison AHF</t>
    </r>
  </si>
  <si>
    <r>
      <rPr>
        <rFont val="Arial,sans-serif"/>
        <b/>
        <color rgb="FF1F3864"/>
      </rPr>
      <t xml:space="preserve">Phase 2B — Workforce
</t>
    </r>
    <r>
      <rPr>
        <rFont val="Arial,sans-serif"/>
        <b val="0"/>
        <color rgb="FF000000"/>
      </rPr>
      <t>$33.5M TDC — 120 units (30–80% AMI) — 4% LIHTC + WHEDA permanent debt + solar incentives</t>
    </r>
  </si>
  <si>
    <r>
      <rPr>
        <rFont val="Arial,sans-serif"/>
        <b/>
        <color rgb="FF1F3864"/>
      </rPr>
      <t xml:space="preserve">Phase 3 — Rent-to-Own
</t>
    </r>
    <r>
      <rPr>
        <rFont val="Arial,sans-serif"/>
        <b val="0"/>
        <color rgb="FF000000"/>
      </rPr>
      <t>$8.1M TDC — 25 units (30–80% AMI) — 9% LIHTC + WHEDA permanent debt + solar incentives</t>
    </r>
  </si>
  <si>
    <t>The financing strategy was built around three interdependent decisions. First, phasing the RAD conversion first: converting the existing public housing to Section 8 RAD allowed the replacement units to be financed independently without displacing residents during construction of later phases. Second, using a mix of 4% and 9% LIHTC across phases rather than relying exclusively on 9% credits — which are oversubscribed in Wisconsin — to make the phased timeline financially viable. Third, incorporating donated land value into each phase’s sources stack, which was critical to making the deeper affordability tiers (30% AMI) financially feasible without excessive deferred developer fee.
The proforma also modelled the rent-to-own townhomes (Phase 3) as a 9% LIHTC rental product that converts to tenant ownership over time — a structure that required separate underwriting from the rental phases and a different permanent debt structure. The goal was to demonstrate a financially viable pathway to homeownership within an affordable development without relying on down payment subsidy programs that are not reliably available at the time of financing.</t>
  </si>
  <si>
    <t>What This Sample Demonstrates</t>
  </si>
  <si>
    <t>The Romnes Commons proforma demonstrates the ability to structure and stress-test complex multi-phase affordable housing financing — across RAD conversion, 4% and 9% LIHTC, tax-exempt bonds, subordinate public debt, and homeownership products — within a constrained budget and a competitive submission context. The financial structure was designed to be deployable in a real Wisconsin financing environment, not illustrative, and was presented to HUD reviewers as part of the national finalist submission.</t>
  </si>
  <si>
    <t>Team 370</t>
  </si>
  <si>
    <t>2024 HUD Innovation in Affordable Housing Student Competition</t>
  </si>
  <si>
    <t>This file contains financing information for the development of Romnes Commons. See below for overview of financing strategy for each project and links to detailed pro formas.</t>
  </si>
  <si>
    <t>Phase</t>
  </si>
  <si>
    <t>Project</t>
  </si>
  <si>
    <t>Financing Strategy Overview</t>
  </si>
  <si>
    <t>Pro Forma Detail</t>
  </si>
  <si>
    <t>1A</t>
  </si>
  <si>
    <t>Community Center</t>
  </si>
  <si>
    <t>Financed in partnership with YMCA of Dane County. YMCA Dane typically finances capital projects through philanthropic funding, and this community center may also be suitable candidate for Community Development Block Grants. Team 370 worked with YMCA Dane President Mark Westover to design a facility that is efficient and financially feasible.</t>
  </si>
  <si>
    <t>n/a</t>
  </si>
  <si>
    <t>1B</t>
  </si>
  <si>
    <t>Senior Housing</t>
  </si>
  <si>
    <t>Public housing redevelopment financed through RAD/Section 18 conversion leveraging federal and state LIHTC (4+4%), WHEDA tax-exempt bonds and subordinate financing, FHLB soft debt, and local funds for on-site childcare and solar.</t>
  </si>
  <si>
    <t>Phase 1B pro forma</t>
  </si>
  <si>
    <t>Affordable Family Housing</t>
  </si>
  <si>
    <t>9% federal tax credit project leveraging WHEDA tax credit permanent financing, FHLB AHP funds, and local funds for solar.</t>
  </si>
  <si>
    <t>Phase 2 Affordable Family pro forma</t>
  </si>
  <si>
    <t>Habitat for Humanity Homes</t>
  </si>
  <si>
    <t>Habitat Homes are financed using philanthropic funds, local funds including Community Development Block Grants, and volunteered labor and materials. Habitat for Humanity of Dane County leadership indicated capacity for ~15-20 homes per year, beginning in Phase 2 of development.</t>
  </si>
  <si>
    <t>Affordable Studio Housing</t>
  </si>
  <si>
    <t>9% federal tax credit project leveraging WHEDA tax credit permanent financing, FHLB AHP funds, City of Madison AHF funds, and local funds for solar.</t>
  </si>
  <si>
    <t>Phase 3 Affordable Studios pro forma</t>
  </si>
  <si>
    <t>Rent-to-Own Townhomes</t>
  </si>
  <si>
    <t>Workforce townhomes targeting 80-120% CMI will be financed with traditional debt, equity, and federal and local funds, with units designed to convert to affordable homeownership over time. Financing strategy will be elaborated in greater detail in Phase 2 of the competition.</t>
  </si>
  <si>
    <t>n/a - to be elaborated in Phase 2</t>
  </si>
  <si>
    <t>[THIS PAGE LEFT INTENTIONALLY BLANK]</t>
  </si>
  <si>
    <t>SOURCES AND USES</t>
  </si>
  <si>
    <t>Enter data in yellow cells</t>
  </si>
  <si>
    <t>SOURCES OF FUNDS</t>
  </si>
  <si>
    <t>USES OF FUNDS</t>
  </si>
  <si>
    <t>Acquisition</t>
  </si>
  <si>
    <t>50% Test Check:</t>
  </si>
  <si>
    <t>Construction</t>
  </si>
  <si>
    <t>Architectural/Engineering</t>
  </si>
  <si>
    <t>Interim Const. Expense</t>
  </si>
  <si>
    <t>Financing Fees &amp; Expense</t>
  </si>
  <si>
    <t>Other Soft Costs</t>
  </si>
  <si>
    <t>Developer Fee</t>
  </si>
  <si>
    <t>Reserves</t>
  </si>
  <si>
    <t>Other</t>
  </si>
  <si>
    <t>TOTAL SOURCES OF FUNDS</t>
  </si>
  <si>
    <t>TOTAL USES OF FUNDS</t>
  </si>
  <si>
    <t>Funding Balance:</t>
  </si>
  <si>
    <t>SOURCE DETAIL</t>
  </si>
  <si>
    <t>TYPE</t>
  </si>
  <si>
    <t>AMOUNT</t>
  </si>
  <si>
    <t>INTEREST RATE</t>
  </si>
  <si>
    <t>AMORTIZATION</t>
  </si>
  <si>
    <t>DEBT SERVICE</t>
  </si>
  <si>
    <t>SOURCE PER UNIT</t>
  </si>
  <si>
    <t>MONTHLY PMT.</t>
  </si>
  <si>
    <t>Hard Debt</t>
  </si>
  <si>
    <t>WHEDA Subordinate Debt</t>
  </si>
  <si>
    <t>Federal Tax Credit Equity (4%)</t>
  </si>
  <si>
    <t>LIHTC Equity</t>
  </si>
  <si>
    <t>State Tax Credit Equity</t>
  </si>
  <si>
    <t>Deferred Developer Fee</t>
  </si>
  <si>
    <t>City of Madison AHF Loan</t>
  </si>
  <si>
    <t>Soft Debt</t>
  </si>
  <si>
    <t>Focus On Energy Solar Incentive (Solar)</t>
  </si>
  <si>
    <t>Grant</t>
  </si>
  <si>
    <t>RENEW Wisconsin Solar for Good Grant (Solar)</t>
  </si>
  <si>
    <t>Source 9</t>
  </si>
  <si>
    <t>Source 10</t>
  </si>
  <si>
    <t>Total Sources</t>
  </si>
  <si>
    <t>Total Debt Service</t>
  </si>
  <si>
    <t>Net Operating Income</t>
  </si>
  <si>
    <t>Debt Service</t>
  </si>
  <si>
    <t>Debt Service Coverage Ratio</t>
  </si>
  <si>
    <t>Residential</t>
  </si>
  <si>
    <t>Residential Per Unit</t>
  </si>
  <si>
    <t>Commercial (if any)</t>
  </si>
  <si>
    <t>Commercial Per Unit</t>
  </si>
  <si>
    <t>Eligible Basis (if LIHTC)</t>
  </si>
  <si>
    <t>CONTRACTOR HARD COSTS</t>
  </si>
  <si>
    <t>ACQUISITION</t>
  </si>
  <si>
    <t>Land</t>
  </si>
  <si>
    <t>Existing Building</t>
  </si>
  <si>
    <t>Sub Total</t>
  </si>
  <si>
    <t>CONSTRUCTION</t>
  </si>
  <si>
    <t>Construction Hard Costs</t>
  </si>
  <si>
    <t>General Conditions</t>
  </si>
  <si>
    <t>Contractor Profit and Overhead</t>
  </si>
  <si>
    <t>Construction Contingency</t>
  </si>
  <si>
    <t>Solar Panels</t>
  </si>
  <si>
    <t>Other (specify)</t>
  </si>
  <si>
    <t>TOTAL CONTRACTOR HARD COSTS</t>
  </si>
  <si>
    <t>SOFT COSTS</t>
  </si>
  <si>
    <t>ARCHITECTURAL AND ENGINEERING</t>
  </si>
  <si>
    <t>Architect Fee-Design</t>
  </si>
  <si>
    <t>Architect Fee-Inspection</t>
  </si>
  <si>
    <t>Engineering Fees</t>
  </si>
  <si>
    <t>PREDEVELOPMENT LOAN EXPENSE</t>
  </si>
  <si>
    <t>Predevelopment Loan Origination Fee</t>
  </si>
  <si>
    <t>Predevelopment Loan Interest</t>
  </si>
  <si>
    <t>INTERIM CONSTRUCTION EXPENSE</t>
  </si>
  <si>
    <t>Const. Loan Origination Fee</t>
  </si>
  <si>
    <t>Const. Interest</t>
  </si>
  <si>
    <t>Const. Insurance</t>
  </si>
  <si>
    <t>Tax Exempt Bond Origination Fee</t>
  </si>
  <si>
    <t>Permits</t>
  </si>
  <si>
    <t>Construction Period Tax</t>
  </si>
  <si>
    <t>FINANCING FEES AND EXPENSE</t>
  </si>
  <si>
    <t>Tax Credit Fees-Initial Compliance</t>
  </si>
  <si>
    <t>Tax Credit Fees-Allocation</t>
  </si>
  <si>
    <t>Tax Credit Fees-Application</t>
  </si>
  <si>
    <t>Syndicator/Investor Fees</t>
  </si>
  <si>
    <t>Permanent Loan Origination Fee</t>
  </si>
  <si>
    <t>Title Insurance and Recording</t>
  </si>
  <si>
    <t>Transfer Tax</t>
  </si>
  <si>
    <t>Lender's Counsel</t>
  </si>
  <si>
    <t>Soft Cost Contingency</t>
  </si>
  <si>
    <t>OTHER SOFT COSTS</t>
  </si>
  <si>
    <t>Appraisal</t>
  </si>
  <si>
    <t>Market Study</t>
  </si>
  <si>
    <t>Environmental Report</t>
  </si>
  <si>
    <t>Site Survey</t>
  </si>
  <si>
    <t>Relocation Costs</t>
  </si>
  <si>
    <t>Legal Fees</t>
  </si>
  <si>
    <t>Accounting Fees</t>
  </si>
  <si>
    <t>Total Development Cost before Developer Fees &amp; Reserves</t>
  </si>
  <si>
    <t>DEVELOPER FEE</t>
  </si>
  <si>
    <t>RESERVES</t>
  </si>
  <si>
    <t>Operating Reserve</t>
  </si>
  <si>
    <t>Replacement Reserve</t>
  </si>
  <si>
    <t>Rent - Up Reserve</t>
  </si>
  <si>
    <t>Insurance Escrow</t>
  </si>
  <si>
    <t>Real Estate Tax Escrow</t>
  </si>
  <si>
    <t>TOTAL SOFT COSTS</t>
  </si>
  <si>
    <t>TOTAL DEVELOPMENT COSTS</t>
  </si>
  <si>
    <t>LIHTC CALCULATION (IF LOW-INCOME HOUSING TAX CREDITS ARE USED AS A SOURCE)</t>
  </si>
  <si>
    <t>Federal LIHTC Calculation</t>
  </si>
  <si>
    <t>Credit Type</t>
  </si>
  <si>
    <t>Eligible Basis</t>
  </si>
  <si>
    <t>Applicable Fraction</t>
  </si>
  <si>
    <t>Qualified Basis</t>
  </si>
  <si>
    <t>QCT or discretionary basis boost</t>
  </si>
  <si>
    <t>Is the property in a Qualified Census Tract or will it receive a discretionary basis boost?</t>
  </si>
  <si>
    <t>No</t>
  </si>
  <si>
    <t>Credit Percentage</t>
  </si>
  <si>
    <t>Annual Credit</t>
  </si>
  <si>
    <t xml:space="preserve">Total LIHTC </t>
  </si>
  <si>
    <t>Equity Pricing $/credit</t>
  </si>
  <si>
    <t>Total LIHTC Equity Raise</t>
  </si>
  <si>
    <t>State LIHTC Calculation</t>
  </si>
  <si>
    <t>Eligible Basis Calculation</t>
  </si>
  <si>
    <t>Less Grants</t>
  </si>
  <si>
    <t>Adjusted Eligible Basis</t>
  </si>
  <si>
    <t>QCT/DDA/HFA Boost</t>
  </si>
  <si>
    <t xml:space="preserve">Per WHEDA 2023 Multifamily Application </t>
  </si>
  <si>
    <t>Potential State Annual Credit - Eligible Basis</t>
  </si>
  <si>
    <t>Equity Gap Calculation</t>
  </si>
  <si>
    <t>Total Residential Project Costs</t>
  </si>
  <si>
    <t>Less Other Sources</t>
  </si>
  <si>
    <t>Total Equity Gap</t>
  </si>
  <si>
    <t>Years Credits are Claimed</t>
  </si>
  <si>
    <t>Gap Divided by Years</t>
  </si>
  <si>
    <t>Pricing per Credit</t>
  </si>
  <si>
    <t>Gap Divided by Equity Pricing</t>
  </si>
  <si>
    <t>Equity Gap State Credit Calculation</t>
  </si>
  <si>
    <t>Annual State Credit Award Limit</t>
  </si>
  <si>
    <t>Annual State Credit Award</t>
  </si>
  <si>
    <t>Total State Credit Equity Raise</t>
  </si>
  <si>
    <t>OPERATING INCOME AND EXPENSES</t>
  </si>
  <si>
    <t>Estimated Gross Income (EGI)</t>
  </si>
  <si>
    <t>Operating Expenses</t>
  </si>
  <si>
    <t>Net Operating Income (NOI)</t>
  </si>
  <si>
    <t>INCOME</t>
  </si>
  <si>
    <t>RESIDENTIAL INCOME DETAIL</t>
  </si>
  <si>
    <t>Unit Type (BR/BA)</t>
  </si>
  <si>
    <t>Unit Count</t>
  </si>
  <si>
    <t>Square Feet</t>
  </si>
  <si>
    <t>Base Monthly Rent</t>
  </si>
  <si>
    <t>Est. Tenant Paid Utilities</t>
  </si>
  <si>
    <t>Gross Rent</t>
  </si>
  <si>
    <t>Annual Rent</t>
  </si>
  <si>
    <t>RAD 1BR/1BA</t>
  </si>
  <si>
    <t>Section 18 1BR/1BA</t>
  </si>
  <si>
    <t>Section 18 2BR</t>
  </si>
  <si>
    <t>Unit Type 4</t>
  </si>
  <si>
    <t>Unit Type 5</t>
  </si>
  <si>
    <t>Unit Type 6</t>
  </si>
  <si>
    <t>Unit Type 7</t>
  </si>
  <si>
    <t>Unit Type 8</t>
  </si>
  <si>
    <t>Unit Type 9</t>
  </si>
  <si>
    <t>Unit Type 10</t>
  </si>
  <si>
    <t>Unit Type 11</t>
  </si>
  <si>
    <t>Unit Type 12</t>
  </si>
  <si>
    <t>Unit Type 13</t>
  </si>
  <si>
    <t>Unit Type 14</t>
  </si>
  <si>
    <t>Unit Type 15</t>
  </si>
  <si>
    <t>Unit Type 16</t>
  </si>
  <si>
    <t>Unit Type 17</t>
  </si>
  <si>
    <t>Unit Type 18</t>
  </si>
  <si>
    <t>Unit Type 19</t>
  </si>
  <si>
    <t>Unit Type 20</t>
  </si>
  <si>
    <t>Unit Type 21</t>
  </si>
  <si>
    <t>Unit Type 22</t>
  </si>
  <si>
    <t>Unit Type 23</t>
  </si>
  <si>
    <t>Unit Type 24</t>
  </si>
  <si>
    <t>Unit Type 25</t>
  </si>
  <si>
    <t>Total Units</t>
  </si>
  <si>
    <t>Potential Gross Rental Revenue</t>
  </si>
  <si>
    <t>unhide for more unit rows</t>
  </si>
  <si>
    <t>OTHER INCOME DETAIL</t>
  </si>
  <si>
    <t>Income Type</t>
  </si>
  <si>
    <t>Quantity</t>
  </si>
  <si>
    <t>Monthly Income</t>
  </si>
  <si>
    <t>Total Monthly Income</t>
  </si>
  <si>
    <t>Annual Income</t>
  </si>
  <si>
    <t>Laundry</t>
  </si>
  <si>
    <t>Type 3</t>
  </si>
  <si>
    <t>Type 4</t>
  </si>
  <si>
    <t>Type 5</t>
  </si>
  <si>
    <t>Total Other Income</t>
  </si>
  <si>
    <t>COMMERCIAL INCOME DETAIL</t>
  </si>
  <si>
    <t>Tenant</t>
  </si>
  <si>
    <t>Commercial Building Type</t>
  </si>
  <si>
    <t>Sq Feet</t>
  </si>
  <si>
    <t>Annual Rent Per Square Foot</t>
  </si>
  <si>
    <t>Taxes Per Square Foot</t>
  </si>
  <si>
    <t>CAM per Square Foot</t>
  </si>
  <si>
    <t>Insurance Per Square Foot</t>
  </si>
  <si>
    <t>Tenant 1</t>
  </si>
  <si>
    <t>Tenant 2</t>
  </si>
  <si>
    <t>Tenant 3</t>
  </si>
  <si>
    <t>Tenant 4</t>
  </si>
  <si>
    <t>Tenant 5</t>
  </si>
  <si>
    <t>Tenant 6</t>
  </si>
  <si>
    <t>Tenant 7</t>
  </si>
  <si>
    <t>Tenant 8</t>
  </si>
  <si>
    <t>Tenant 9</t>
  </si>
  <si>
    <t>Tenant 10</t>
  </si>
  <si>
    <t>Potential Gross Commercial Revenue</t>
  </si>
  <si>
    <t>ESTIMATED GROSS INCOME CALCULATION</t>
  </si>
  <si>
    <t>Residential Vacancy Rate &amp; Credit Loss</t>
  </si>
  <si>
    <t>adjust if needed</t>
  </si>
  <si>
    <t>Estimated Gross Income - Residential</t>
  </si>
  <si>
    <t>Commercial Vacancy Rate</t>
  </si>
  <si>
    <t>Estimated Gross Income - Commercial</t>
  </si>
  <si>
    <t>ESTIMATED GROSS INCOME</t>
  </si>
  <si>
    <t>OPERATING EXPENSES</t>
  </si>
  <si>
    <t>Management &amp; Administration</t>
  </si>
  <si>
    <t>Budget</t>
  </si>
  <si>
    <t>Per Unit</t>
  </si>
  <si>
    <t>% of EGI</t>
  </si>
  <si>
    <t>Property Management Fee</t>
  </si>
  <si>
    <t>Administrative Costs (Payroll, Taxes, Etc.)</t>
  </si>
  <si>
    <t>Accounting</t>
  </si>
  <si>
    <t>Legal</t>
  </si>
  <si>
    <t>Marketing</t>
  </si>
  <si>
    <t>Misc. Administrative Expenses</t>
  </si>
  <si>
    <t>Subtotal Mgt. &amp; Admin.</t>
  </si>
  <si>
    <t>Utilities by Owner</t>
  </si>
  <si>
    <t>Water/Sewer</t>
  </si>
  <si>
    <t xml:space="preserve">Electric </t>
  </si>
  <si>
    <t>Natural Gas</t>
  </si>
  <si>
    <t>Subtotal Utilities</t>
  </si>
  <si>
    <t>Maintenance &amp; Repairs</t>
  </si>
  <si>
    <t>Maintenance  Payroll Etc.</t>
  </si>
  <si>
    <t>Janitorial Supplies/Extermination</t>
  </si>
  <si>
    <t>Building Tools &amp; Supplies</t>
  </si>
  <si>
    <t>Repair Contracts/Work</t>
  </si>
  <si>
    <t>Painting/Decorating</t>
  </si>
  <si>
    <t>Grounds Maintenance</t>
  </si>
  <si>
    <t>Trash Removal</t>
  </si>
  <si>
    <t>Snow Removal</t>
  </si>
  <si>
    <t>Misc. Maintenance</t>
  </si>
  <si>
    <t>Subtotal Maint &amp; Repairs</t>
  </si>
  <si>
    <t>Taxes</t>
  </si>
  <si>
    <t>Property taxes</t>
  </si>
  <si>
    <t>Subtotal Taxes</t>
  </si>
  <si>
    <t>Insurance &amp; Other</t>
  </si>
  <si>
    <t>Insurance</t>
  </si>
  <si>
    <t>Annual Tax Credit Compliance Fee</t>
  </si>
  <si>
    <t>Subtotal Insurance</t>
  </si>
  <si>
    <t>Resident Services</t>
  </si>
  <si>
    <t>Electric Shuttle Lease and Staffing Costs</t>
  </si>
  <si>
    <t xml:space="preserve">Broadband </t>
  </si>
  <si>
    <t>Subtotal Resident Services</t>
  </si>
  <si>
    <t xml:space="preserve"> </t>
  </si>
  <si>
    <t>TOTAL OPERATING EXPENSES</t>
  </si>
  <si>
    <t>TOTAL OPERATING EXPENSES WITH RESERVES</t>
  </si>
  <si>
    <t>CASH FLOW</t>
  </si>
  <si>
    <t>Assumptions</t>
  </si>
  <si>
    <t>adjust on Income &amp; Expense tab</t>
  </si>
  <si>
    <t>Residential/Other Income Escalator</t>
  </si>
  <si>
    <t>Commercial Income Escalator</t>
  </si>
  <si>
    <t>Expense Escalator</t>
  </si>
  <si>
    <t>Year 1</t>
  </si>
  <si>
    <t>Year 2</t>
  </si>
  <si>
    <t>Year 3</t>
  </si>
  <si>
    <t>Year 4</t>
  </si>
  <si>
    <t>Year 5</t>
  </si>
  <si>
    <t>Year 6</t>
  </si>
  <si>
    <t>Year 7</t>
  </si>
  <si>
    <t>Year 8</t>
  </si>
  <si>
    <t>Year 9</t>
  </si>
  <si>
    <t>Year 10</t>
  </si>
  <si>
    <t>Year 15</t>
  </si>
  <si>
    <t>Year 20</t>
  </si>
  <si>
    <t>Income</t>
  </si>
  <si>
    <t>EGI - Residential</t>
  </si>
  <si>
    <t>EGI - Commercial</t>
  </si>
  <si>
    <t>Other Income</t>
  </si>
  <si>
    <t>Effective Gross Income</t>
  </si>
  <si>
    <t>Expenses</t>
  </si>
  <si>
    <t>Mgt. &amp; Administration</t>
  </si>
  <si>
    <t>Total Operating Expenses</t>
  </si>
  <si>
    <t>Cash Flow</t>
  </si>
  <si>
    <t>NOI</t>
  </si>
  <si>
    <t>DSCR</t>
  </si>
  <si>
    <t>Cash Flow After Debt Service</t>
  </si>
  <si>
    <t>Excess Cash Flow</t>
  </si>
  <si>
    <t>Deferred Developer Fee Repayment</t>
  </si>
  <si>
    <t>DDF Balance</t>
  </si>
  <si>
    <t>Down Payment Assistance Fund</t>
  </si>
  <si>
    <t>Childcare Subsidy Fund</t>
  </si>
  <si>
    <t>YMCA Membership Fund</t>
  </si>
  <si>
    <t>CONSTRUCTION DEBT SOURCES</t>
  </si>
  <si>
    <t>WHEDA Short-Term Tax-Exempt Bond Loan</t>
  </si>
  <si>
    <t>Notes</t>
  </si>
  <si>
    <t>Total Development Cost</t>
  </si>
  <si>
    <t>Solved to avoid circular reference</t>
  </si>
  <si>
    <t>Bond Sizing</t>
  </si>
  <si>
    <t>To meet 50% test for 4% LIHTC</t>
  </si>
  <si>
    <t>Tax-Exempt Bond Proceeds</t>
  </si>
  <si>
    <t>Construction Period (months)</t>
  </si>
  <si>
    <t>Average of development comps</t>
  </si>
  <si>
    <t>Time Savings from Volumetric Modular</t>
  </si>
  <si>
    <t>Case studies</t>
  </si>
  <si>
    <t>Time to Takeout (months)</t>
  </si>
  <si>
    <t>Assuming no lease-up time given relocation of current residents</t>
  </si>
  <si>
    <t>Loan Term (months)</t>
  </si>
  <si>
    <t>Drawdown Factor</t>
  </si>
  <si>
    <t>Annual Interest Rate</t>
  </si>
  <si>
    <t>WHEDA Lending Rates (posted 04/02/24)</t>
  </si>
  <si>
    <t>Interest During Construction</t>
  </si>
  <si>
    <t>Interest During Conversion</t>
  </si>
  <si>
    <t>Interest on Short-Term Tax-Exempt Bond Loan</t>
  </si>
  <si>
    <t>WHEDA Construction Plus Loan (Taxable Tail)</t>
  </si>
  <si>
    <t>Construction Costs</t>
  </si>
  <si>
    <t>Total hard costs plus A&amp;E</t>
  </si>
  <si>
    <t>Max LTC</t>
  </si>
  <si>
    <t>WHEDA Construction Plus term sheet</t>
  </si>
  <si>
    <t>Max Loan Amount</t>
  </si>
  <si>
    <t>Bond Proceeds</t>
  </si>
  <si>
    <t>Predevelopment Loan Amount</t>
  </si>
  <si>
    <t>Below</t>
  </si>
  <si>
    <t>Construction Funding Gap</t>
  </si>
  <si>
    <t>Requested Loan Amount</t>
  </si>
  <si>
    <t>Interest on Taxable Tail Construction Loan</t>
  </si>
  <si>
    <t>LISC Predevelopment Loan</t>
  </si>
  <si>
    <t>Other Up-Front Soft Costs</t>
  </si>
  <si>
    <t>Predevelopment Expenses</t>
  </si>
  <si>
    <t>Predevelopment Loan Size</t>
  </si>
  <si>
    <t>Term (months)</t>
  </si>
  <si>
    <t>LISC Affordable Housing Product Term Sheet</t>
  </si>
  <si>
    <t>Interest Rate</t>
  </si>
  <si>
    <t>Interest During Predevelopment</t>
  </si>
  <si>
    <t>Origination Fee Rate</t>
  </si>
  <si>
    <t>Origination Fee</t>
  </si>
  <si>
    <t>PERMANENT DEBT SOURCES</t>
  </si>
  <si>
    <t>WHEDA Tax-Exempt Bond Loan</t>
  </si>
  <si>
    <t>Year 1 NOI</t>
  </si>
  <si>
    <t>Minimum DCR</t>
  </si>
  <si>
    <t>WHEDA Tax-Exempt Bond Loan term sheet minimum</t>
  </si>
  <si>
    <t>Maximum Debt Payment</t>
  </si>
  <si>
    <t>Amortization</t>
  </si>
  <si>
    <t>WHEDA Tax-Exempt Bond Loan term sheet maximum</t>
  </si>
  <si>
    <t>Annual interest rate</t>
  </si>
  <si>
    <t>Underwritten Amount</t>
  </si>
  <si>
    <t>Total Bond Interest During Construction/Conversion</t>
  </si>
  <si>
    <t>WHEDA Subordinate Loan</t>
  </si>
  <si>
    <t>Funding Gap</t>
  </si>
  <si>
    <t>Loan Size</t>
  </si>
  <si>
    <t>Max Subordinate Loan</t>
  </si>
  <si>
    <t>WHEDA Subordinate Loan Term Sheet</t>
  </si>
  <si>
    <t>DCR Check</t>
  </si>
  <si>
    <t>Term (years)</t>
  </si>
  <si>
    <t>Origination Fee Amount</t>
  </si>
  <si>
    <t>Category/Item</t>
  </si>
  <si>
    <t>Value</t>
  </si>
  <si>
    <t>Source/Note</t>
  </si>
  <si>
    <t>INCOME &amp; EXPENSES</t>
  </si>
  <si>
    <t>Residential Income</t>
  </si>
  <si>
    <t>Public Housing Replacement Units</t>
  </si>
  <si>
    <t>Replacement 1BR units</t>
  </si>
  <si>
    <t>CDA/HUD Guidelines</t>
  </si>
  <si>
    <t>Replacement 2BR units</t>
  </si>
  <si>
    <t>Total</t>
  </si>
  <si>
    <t>Unit Sizes</t>
  </si>
  <si>
    <t>1BR sqft</t>
  </si>
  <si>
    <t>2BR sqft</t>
  </si>
  <si>
    <t>Financing Mix for Replacement Units</t>
  </si>
  <si>
    <t>RAD portion of replacement units</t>
  </si>
  <si>
    <t>CDA/HUD Guidelines; RAD/Section 18 blend regulations</t>
  </si>
  <si>
    <t>Section 18 portion of replacement units</t>
  </si>
  <si>
    <t>RAD/Section 18 Rent Limits</t>
  </si>
  <si>
    <t>RAD 1BR</t>
  </si>
  <si>
    <t>RAD 2BR</t>
  </si>
  <si>
    <t>Section 18 1BR</t>
  </si>
  <si>
    <t>Utility Allowances</t>
  </si>
  <si>
    <t>1BR</t>
  </si>
  <si>
    <t>DCHA &amp; CDA Section 8 Utility Allowances (effective 1/1/24)</t>
  </si>
  <si>
    <t>2BR</t>
  </si>
  <si>
    <t>Vacancy</t>
  </si>
  <si>
    <t>Assumed Vacanacy Rate</t>
  </si>
  <si>
    <t>Per WHEDA 2023 Multifamily Application standards</t>
  </si>
  <si>
    <t>Monthly laundry income per unit</t>
  </si>
  <si>
    <t>Childcare Center monthly rent</t>
  </si>
  <si>
    <t>Subsidized to promote affordability</t>
  </si>
  <si>
    <t>Property Management Fee (% of EGI)</t>
  </si>
  <si>
    <t>OpEx Comps</t>
  </si>
  <si>
    <t>Full-time property manager plus benefits</t>
  </si>
  <si>
    <t>Misc. Administrative Expenses per unit</t>
  </si>
  <si>
    <t>Water &amp; Sewer cost per unit</t>
  </si>
  <si>
    <t>Water &amp; Sewer savings (efficient appliances, intelligent monitoring)</t>
  </si>
  <si>
    <t>Electricity cost per unit</t>
  </si>
  <si>
    <t>Electricity savings (solar panels, efficient appliances, intelligent monitoring)</t>
  </si>
  <si>
    <t>Natural Gas cost per unit</t>
  </si>
  <si>
    <t>No natural gas</t>
  </si>
  <si>
    <t>Maintenance Payroll Etc.</t>
  </si>
  <si>
    <t>Two FT staff (one maintenance tech, one janitor) plus benefits</t>
  </si>
  <si>
    <t>Janitorial Supplies/Extermination per unit</t>
  </si>
  <si>
    <t>Building Tools &amp; Supplies per unit</t>
  </si>
  <si>
    <t>Repair Contracts/Work per unit</t>
  </si>
  <si>
    <t>Painting/Decorating per unit</t>
  </si>
  <si>
    <t>Grounds Maintenance per unit</t>
  </si>
  <si>
    <t>Trash Removal per unit</t>
  </si>
  <si>
    <t>Snow Removal per unit</t>
  </si>
  <si>
    <t>Misc. Maintenance per unit</t>
  </si>
  <si>
    <t>Contingency</t>
  </si>
  <si>
    <t>Implied cap rate</t>
  </si>
  <si>
    <t>Assessed Value per Unit</t>
  </si>
  <si>
    <t>Assessed Value</t>
  </si>
  <si>
    <t>Millage Rate</t>
  </si>
  <si>
    <t>Office of the City Assessor</t>
  </si>
  <si>
    <t>Calculated Property Tax Liability</t>
  </si>
  <si>
    <t>Solved to above to avoid circular reference</t>
  </si>
  <si>
    <t>Insurance cost per unit</t>
  </si>
  <si>
    <t>Annual Tax Credit Compliance Fee per unit</t>
  </si>
  <si>
    <t>WHEDA HTC QAP 2023-24</t>
  </si>
  <si>
    <t>Full-time resident services coordinator plus benefits</t>
  </si>
  <si>
    <t>Electric Van Lease and Staffing Costs per month</t>
  </si>
  <si>
    <t>Local vendor quote plus hourly staffing</t>
  </si>
  <si>
    <t>Broadband</t>
  </si>
  <si>
    <t>Comps</t>
  </si>
  <si>
    <t>Replacement reserve per unit</t>
  </si>
  <si>
    <t>Per WHEDA 2023 Multifamily Application guidance for New Construction, Elderly</t>
  </si>
  <si>
    <t>SOURCES &amp; USES</t>
  </si>
  <si>
    <t>Development Costs</t>
  </si>
  <si>
    <t>Land Cost</t>
  </si>
  <si>
    <t>Not applicable</t>
  </si>
  <si>
    <t>Existing Building Cost</t>
  </si>
  <si>
    <t>Hard Costs per unit</t>
  </si>
  <si>
    <t>Median of comps</t>
  </si>
  <si>
    <t>Premium for sustainable building upgrades (e.g., windows, systems, appliances)</t>
  </si>
  <si>
    <t>Case study</t>
  </si>
  <si>
    <t>Cost Savings from Volumetric Modular</t>
  </si>
  <si>
    <t>Average of vendor and expert estimates</t>
  </si>
  <si>
    <t>General Requirements/Conditions (% of hard costs)</t>
  </si>
  <si>
    <t xml:space="preserve">Per WHEDA 2023 Multifamily Application guidance </t>
  </si>
  <si>
    <t>Builder Profit (% of hard costs)</t>
  </si>
  <si>
    <t>Builder Overhead (% of hard costs)</t>
  </si>
  <si>
    <t>Construction Contingency (% of hard costs plus profit, overhead, conditions)</t>
  </si>
  <si>
    <t>Reduced to reflect standardized pricing for modular units</t>
  </si>
  <si>
    <t>Roof square footage</t>
  </si>
  <si>
    <t>Site Plan</t>
  </si>
  <si>
    <t>Roof coverage</t>
  </si>
  <si>
    <t>To allow for necessary mechanical systems</t>
  </si>
  <si>
    <t>Average solar panel watts per square foot</t>
  </si>
  <si>
    <t>Nexamp</t>
  </si>
  <si>
    <t>Total wattage (kWh)</t>
  </si>
  <si>
    <t>Cost per kWh</t>
  </si>
  <si>
    <t>Development comp</t>
  </si>
  <si>
    <t>Total cost</t>
  </si>
  <si>
    <t>Architecture &amp; Engineering</t>
  </si>
  <si>
    <t>Architectural Fee-Design (% of hard costs)</t>
  </si>
  <si>
    <t>Average of comps</t>
  </si>
  <si>
    <t>Architectural Fee-Inspection (% of hard costs)</t>
  </si>
  <si>
    <t>Engineering Fees (% of hard costs)</t>
  </si>
  <si>
    <t>Interim Construction Expense</t>
  </si>
  <si>
    <t>Const. Loan Origination Fee Rate</t>
  </si>
  <si>
    <t>WHEDA Construction Plus Tax Credit Development Loan term sheet</t>
  </si>
  <si>
    <t>Tax-Exempt Bond Origination Fee Rate</t>
  </si>
  <si>
    <t>WHEDA Tax-Exempt Bond Loan term sheet</t>
  </si>
  <si>
    <t>Interest on tax-exempt bonds and Construction Plus loan during construction/conversion</t>
  </si>
  <si>
    <t>Const. Insurance (% of hard costs)</t>
  </si>
  <si>
    <t>P &amp; P Bond Premium (% of hard costs)</t>
  </si>
  <si>
    <t>Development comps</t>
  </si>
  <si>
    <t>Construction Period Inspection Fees</t>
  </si>
  <si>
    <t>Loan Documentation Fees</t>
  </si>
  <si>
    <t>Cons. Loan Application Fee</t>
  </si>
  <si>
    <t>Impact Fees</t>
  </si>
  <si>
    <t>Financing Fees and Expense</t>
  </si>
  <si>
    <t>Perm. Loan Origination Fee Rate</t>
  </si>
  <si>
    <t>Tax Credit Fees-Allocation (% of annual federal credit award)</t>
  </si>
  <si>
    <t>Tax Credit Fees-Allocation (% of annual state credit award)</t>
  </si>
  <si>
    <t>Syndication/Investor Fees</t>
  </si>
  <si>
    <t>Local developer estimate</t>
  </si>
  <si>
    <t>Expert opinion</t>
  </si>
  <si>
    <t>Soft Cost Contingency (% of soft costs)</t>
  </si>
  <si>
    <t>Permanent Loan Documentation Fees</t>
  </si>
  <si>
    <t>Permanent Loan Application Fee</t>
  </si>
  <si>
    <t>8609 Issuance</t>
  </si>
  <si>
    <t>Relocation Costs per unit</t>
  </si>
  <si>
    <t>Other: Sustainability Consultant Fee</t>
  </si>
  <si>
    <t>Other: Green Certification (LEED)</t>
  </si>
  <si>
    <t>Other: Accessibility Inspections and Plan Review</t>
  </si>
  <si>
    <t>Maximum Developer Fee per unit</t>
  </si>
  <si>
    <t>Maximum per WHEDA HTC QAP 2023-24</t>
  </si>
  <si>
    <t>Operating Reserve (months)</t>
  </si>
  <si>
    <t>Replacement Reserve per unit</t>
  </si>
  <si>
    <t>Rent - Up Reserve (months of operating expenses)</t>
  </si>
  <si>
    <t>Insurance Escrow (months)</t>
  </si>
  <si>
    <t>Real Estate Tax Escrow (months)</t>
  </si>
  <si>
    <t>Tax Credit Monitor Fee</t>
  </si>
  <si>
    <t>Captured in Financing Fees and Expense</t>
  </si>
  <si>
    <t>turn this into a 4% deal so it pencils</t>
  </si>
  <si>
    <t>WHEDA Tax Credit Permanent Financing Loan</t>
  </si>
  <si>
    <t>Federal Tax Credit Equity (9%)</t>
  </si>
  <si>
    <t>FHLB AHP Loan</t>
  </si>
  <si>
    <t>Source 7</t>
  </si>
  <si>
    <t>Source 8</t>
  </si>
  <si>
    <t>Existing Building Demolition (allocated across Phases 2 and 3)</t>
  </si>
  <si>
    <t>PREDEVELOPMENT EXPENSE</t>
  </si>
  <si>
    <t>Perm. Loan Origination Fee</t>
  </si>
  <si>
    <t>RESERVES (see CAHFA Policies)</t>
  </si>
  <si>
    <t>Potential  LIHTC Award - Eligible Basis Method</t>
  </si>
  <si>
    <t>Potential LIHTC Award - Equity Gap Method</t>
  </si>
  <si>
    <t>Annual Credit Maximum</t>
  </si>
  <si>
    <t>Annual Federal Credit Award</t>
  </si>
  <si>
    <t>LIHTC Self-Scoring</t>
  </si>
  <si>
    <t>Scoring Categories</t>
  </si>
  <si>
    <t>Points Available</t>
  </si>
  <si>
    <t>Applicant Score</t>
  </si>
  <si>
    <t>Lower Income Areas</t>
  </si>
  <si>
    <t>Energy Efficiency and Sustainability</t>
  </si>
  <si>
    <t>Mixed Income Incentive</t>
  </si>
  <si>
    <t>Serves Large Families</t>
  </si>
  <si>
    <t>Serves Lowest Income Residents</t>
  </si>
  <si>
    <t>Supportive Housing</t>
  </si>
  <si>
    <t>Veterans Housing</t>
  </si>
  <si>
    <t>Rehab/Neighborhood Stabilization</t>
  </si>
  <si>
    <t>Universal Design</t>
  </si>
  <si>
    <t>Financial Leverage Scoring</t>
  </si>
  <si>
    <t>Financial Leverage</t>
  </si>
  <si>
    <t>&lt;-- Equity Leverage</t>
  </si>
  <si>
    <t>Min</t>
  </si>
  <si>
    <t>Max</t>
  </si>
  <si>
    <t>Points</t>
  </si>
  <si>
    <t>Eventual Tenant Ownership</t>
  </si>
  <si>
    <t>Development Team</t>
  </si>
  <si>
    <t>Areas of Economic Opportunity</t>
  </si>
  <si>
    <t>Rural Areas without Recent Tax Credit Awards</t>
  </si>
  <si>
    <t>Workforce Housing Communities</t>
  </si>
  <si>
    <t>Community Service Facilities</t>
  </si>
  <si>
    <t>Eligibility Threshold</t>
  </si>
  <si>
    <t>30% 1BR</t>
  </si>
  <si>
    <t>40% 1BR</t>
  </si>
  <si>
    <t>50% 1BR</t>
  </si>
  <si>
    <t>3BR</t>
  </si>
  <si>
    <t>60% 1BR</t>
  </si>
  <si>
    <t>80% 1BR</t>
  </si>
  <si>
    <t>30% 2BR</t>
  </si>
  <si>
    <t>40% 2BR</t>
  </si>
  <si>
    <t>50% 2BR</t>
  </si>
  <si>
    <t>60% 2BR</t>
  </si>
  <si>
    <t>80% 2BR</t>
  </si>
  <si>
    <t>30% 3BR</t>
  </si>
  <si>
    <t>40% 3BR</t>
  </si>
  <si>
    <t>50% 3BR</t>
  </si>
  <si>
    <t>60% 3BR</t>
  </si>
  <si>
    <t>80% 3BR</t>
  </si>
  <si>
    <t>% affordable (50% or below)</t>
  </si>
  <si>
    <t>Type 2</t>
  </si>
  <si>
    <t>Balance</t>
  </si>
  <si>
    <t>WHEDA Tax Credit Permanent Financing term sheet minimum</t>
  </si>
  <si>
    <t>WHEDA Tax Credit Permanent Financing term sheet</t>
  </si>
  <si>
    <t>WHEDA Lending Rates (posted 01/26/24)</t>
  </si>
  <si>
    <t>Max Loan Amount (DCR)</t>
  </si>
  <si>
    <t>Max Loan Amount (WHEDA Maximum)</t>
  </si>
  <si>
    <t>WHEDA Construction Plus Loan</t>
  </si>
  <si>
    <t>Lease-Up (months)</t>
  </si>
  <si>
    <t>Based on average units per month of development comps</t>
  </si>
  <si>
    <t>Total Interest on Construction Loan</t>
  </si>
  <si>
    <t>LISC Affordable Housing  Product Term Sheet</t>
  </si>
  <si>
    <t>Dane County 80% Rent Limits by Bedroom Size</t>
  </si>
  <si>
    <t>Studio</t>
  </si>
  <si>
    <t>HUD/WHEDA (effective 5/15/23)</t>
  </si>
  <si>
    <t>Income Level Conversion Rates from 80%</t>
  </si>
  <si>
    <t>Actual Rents 80% by Bedroom Size (right-sized to market comps)</t>
  </si>
  <si>
    <t>Studio sqft</t>
  </si>
  <si>
    <t>3BR sqft</t>
  </si>
  <si>
    <t>One FT staff (maintenance tech) plus benefits</t>
  </si>
  <si>
    <t>Cap rate</t>
  </si>
  <si>
    <t>CoStar data</t>
  </si>
  <si>
    <t>Budget for resident services, based on development comp service provider agreement</t>
  </si>
  <si>
    <t>Per WHEDA 2023 Multifamily Application guidance for New Construction, Family</t>
  </si>
  <si>
    <t>Existing Building Square Feet</t>
  </si>
  <si>
    <t>Estimate</t>
  </si>
  <si>
    <t>Demolition Cost per square foot</t>
  </si>
  <si>
    <t>Estimate from local GC</t>
  </si>
  <si>
    <t>Allocation of Demolition Costs to Phase 2</t>
  </si>
  <si>
    <t>Increase in Hard Costs for Larger Units</t>
  </si>
  <si>
    <t>Site Work-Demolition</t>
  </si>
  <si>
    <t>Local GC estimate</t>
  </si>
  <si>
    <t>Base rebate</t>
  </si>
  <si>
    <t>Focus on Energy Solar Initiative Terms</t>
  </si>
  <si>
    <t>Additional rebate per kW above 300</t>
  </si>
  <si>
    <t>Max rebate</t>
  </si>
  <si>
    <t>Total rebate</t>
  </si>
  <si>
    <t>Average of comps, reduced in phase 2 to reflect reuse of modular unit designs from phase 1</t>
  </si>
  <si>
    <t>Interest on Construction Plus loan during construction/conversion</t>
  </si>
  <si>
    <t>WHEDA Preservation Plus term sheet</t>
  </si>
  <si>
    <t>No relocation</t>
  </si>
  <si>
    <t>Const. Admin. Svcs. Fee</t>
  </si>
  <si>
    <t>Real Estate Tax Escrow (months(</t>
  </si>
  <si>
    <t>Captured in Finances Fees and Expense</t>
  </si>
  <si>
    <t>make it clear this pro forma gets repeated for each of the L-shaped buildings</t>
  </si>
  <si>
    <t>City of Madison AHF</t>
  </si>
  <si>
    <t>get rid of AHF funds to save city resources?</t>
  </si>
  <si>
    <t>check the per unit TDC, should be a bit higher</t>
  </si>
  <si>
    <t>30% Studio</t>
  </si>
  <si>
    <t>40% Studio</t>
  </si>
  <si>
    <t>50% Studio</t>
  </si>
  <si>
    <t>60% Studio</t>
  </si>
  <si>
    <t>80% Studio</t>
  </si>
  <si>
    <t>Market Comps</t>
  </si>
  <si>
    <t>DCHA &amp; CDA Voucher Payment Standards</t>
  </si>
  <si>
    <t>DCHA &amp; CDA (1/1/24)</t>
  </si>
  <si>
    <t>OpEx Comps; Wastewater / gray water reuse?</t>
  </si>
  <si>
    <t>OpEx Comps; Solar panels? Energy efficiency standards?</t>
  </si>
  <si>
    <t>Calculated Tax Liability</t>
  </si>
  <si>
    <t>Property taxes (input)</t>
  </si>
  <si>
    <t>Cost Savings from Smaller Units</t>
  </si>
  <si>
    <t>Market Studio</t>
  </si>
  <si>
    <t>Market 1BR</t>
  </si>
  <si>
    <t>Market 2BR</t>
  </si>
  <si>
    <t>Market 3BR</t>
  </si>
  <si>
    <t>shore up cash flow after year 15 and DDF repayment (or show that homes gets sold after year 15)</t>
  </si>
  <si>
    <t>LIHTC Table</t>
  </si>
  <si>
    <t>Sources</t>
  </si>
  <si>
    <t>Yes</t>
  </si>
  <si>
    <t>Owner Equity</t>
  </si>
  <si>
    <t>References</t>
  </si>
  <si>
    <t>See ensuing pages and sources listed on assumptions pages throughout</t>
  </si>
  <si>
    <t>Comp #1</t>
  </si>
  <si>
    <t>Comp #2</t>
  </si>
  <si>
    <t>Comp #3</t>
  </si>
  <si>
    <t>Comp #4</t>
  </si>
  <si>
    <t>Location</t>
  </si>
  <si>
    <t>Madison, WI</t>
  </si>
  <si>
    <t>Waunakee, WI</t>
  </si>
  <si>
    <t>Greenfield, WI</t>
  </si>
  <si>
    <t>Housing Type</t>
  </si>
  <si>
    <t>Senior, New Construction</t>
  </si>
  <si>
    <t>Family, New Construction</t>
  </si>
  <si>
    <t>Family, Senior, New Construction</t>
  </si>
  <si>
    <t>Related GC?</t>
  </si>
  <si>
    <t xml:space="preserve">Construction Commencement </t>
  </si>
  <si>
    <t>Construction months</t>
  </si>
  <si>
    <t>15 months (+ 16 months to lease + convert)</t>
  </si>
  <si>
    <t>11 months (+10 months to lease + convert)</t>
  </si>
  <si>
    <t>18 months (+11 months to lease + convert)</t>
  </si>
  <si>
    <t>14 months (+9 months to lease + convert)</t>
  </si>
  <si>
    <t>Lease Up</t>
  </si>
  <si>
    <t>8 units/month</t>
  </si>
  <si>
    <t>15 units/month</t>
  </si>
  <si>
    <t>6 units/month</t>
  </si>
  <si>
    <t>Absorption units/month</t>
  </si>
  <si>
    <t xml:space="preserve">TDC </t>
  </si>
  <si>
    <t>$26.6MM</t>
  </si>
  <si>
    <t>$11.3MM</t>
  </si>
  <si>
    <t>$40.6MM</t>
  </si>
  <si>
    <t>$13.6MM</t>
  </si>
  <si>
    <t>Hard Costs (not incl. contingency)</t>
  </si>
  <si>
    <t>$16MM</t>
  </si>
  <si>
    <t>$6.8MM</t>
  </si>
  <si>
    <t>$28.5MM</t>
  </si>
  <si>
    <t>$9.6MM</t>
  </si>
  <si>
    <t>LIHTC PPC (Fed)</t>
  </si>
  <si>
    <t>PPC (Other)</t>
  </si>
  <si>
    <t>N/A</t>
  </si>
  <si>
    <t>OpX/Unit (not incl res, svcs)</t>
  </si>
  <si>
    <t>Notes:</t>
  </si>
  <si>
    <t>20% veterans, $1.4MM land value included in TDC; no soft funding</t>
  </si>
  <si>
    <t>20% veterans, $1.2MM land value included in TDC; Dane Workforce Housing Fund ($800K), TID (?) Funds ($325K)</t>
  </si>
  <si>
    <t>20% veterans, $1.4MM land value included in TDC; $2.5MM WHEDA, $1.4MM Dane County, City of Madison $300K</t>
  </si>
  <si>
    <t>20% Developmental Disability, $800K land value included in TDC; $2.5MM ARPA funds (expended); 7 mkt rate</t>
  </si>
  <si>
    <t>Hard Costs</t>
  </si>
  <si>
    <t>TDC</t>
  </si>
  <si>
    <t>Hard Costs per Unit</t>
  </si>
  <si>
    <t>TDC per Unit</t>
  </si>
  <si>
    <t>Lease Up (units per month)</t>
  </si>
  <si>
    <t>St. John's Lutheran Church Redevelopment</t>
  </si>
  <si>
    <t>Northpointe Merchant Place Apartments</t>
  </si>
  <si>
    <t>Year</t>
  </si>
  <si>
    <t>Units</t>
  </si>
  <si>
    <t>% of Hard Costs</t>
  </si>
  <si>
    <t>Average Total</t>
  </si>
  <si>
    <t>Average Per Unit</t>
  </si>
  <si>
    <t>Average % of Hard Costs</t>
  </si>
  <si>
    <t>Acquisition Costs</t>
  </si>
  <si>
    <t>Existing Buildings/Improvements</t>
  </si>
  <si>
    <t>Construction/Rehab Costs</t>
  </si>
  <si>
    <t>Construction Profit</t>
  </si>
  <si>
    <t>Construction Overhead</t>
  </si>
  <si>
    <t>General Requirements</t>
  </si>
  <si>
    <t>Construction Supervision</t>
  </si>
  <si>
    <t>FF&amp;E/Personal Property</t>
  </si>
  <si>
    <t>Demolition</t>
  </si>
  <si>
    <t>Site Work</t>
  </si>
  <si>
    <t>Landscaping</t>
  </si>
  <si>
    <t>Letter of Credit/P&amp;P Bond</t>
  </si>
  <si>
    <t>Architectural &amp; Engineering</t>
  </si>
  <si>
    <t>Architect - Design</t>
  </si>
  <si>
    <t>Architect - Supervision</t>
  </si>
  <si>
    <t>Engineering</t>
  </si>
  <si>
    <t>Geotech/Soils</t>
  </si>
  <si>
    <t>Interim/Construction Costs</t>
  </si>
  <si>
    <t>Builder's Risk / Property Insurance</t>
  </si>
  <si>
    <t>Cosntruction Loan Interest</t>
  </si>
  <si>
    <t>Construction Loan Origination Fee</t>
  </si>
  <si>
    <t>Real Estate Taxes</t>
  </si>
  <si>
    <t>Park Impact Fees</t>
  </si>
  <si>
    <t>Other Impact Fees</t>
  </si>
  <si>
    <t>Construction Legal</t>
  </si>
  <si>
    <t>Financing Fees</t>
  </si>
  <si>
    <t>Cost of Bond Issuance</t>
  </si>
  <si>
    <t>Credit Enhancement</t>
  </si>
  <si>
    <t>Other Permanent Loan Fees</t>
  </si>
  <si>
    <t>Soft Costs</t>
  </si>
  <si>
    <t>Environmental Reports</t>
  </si>
  <si>
    <t>Survey</t>
  </si>
  <si>
    <t>Lease-Up Period Marketing</t>
  </si>
  <si>
    <t>Tax Credit Fees - Application</t>
  </si>
  <si>
    <t>Tax Credit Fees - Compliance</t>
  </si>
  <si>
    <t>Tax Credit Fees - Allocation</t>
  </si>
  <si>
    <t>Accounting/Cost Certification</t>
  </si>
  <si>
    <t>Relocation</t>
  </si>
  <si>
    <t>FF&amp;E</t>
  </si>
  <si>
    <t>Capital Needs Assessment (if rehab)</t>
  </si>
  <si>
    <t>Fees</t>
  </si>
  <si>
    <t>Bridge Loan Fees</t>
  </si>
  <si>
    <t>Organizational Fees</t>
  </si>
  <si>
    <t>Syndication Fees</t>
  </si>
  <si>
    <t>Total Development Fee</t>
  </si>
  <si>
    <t>Developer Overhead</t>
  </si>
  <si>
    <t>Other Consultant Fees</t>
  </si>
  <si>
    <t>Reserves Funded from Capital</t>
  </si>
  <si>
    <t>Lease-Up Reserve</t>
  </si>
  <si>
    <t>Capital Needs Reserve</t>
  </si>
  <si>
    <t>Debt Service Reserve</t>
  </si>
  <si>
    <t>Escrows</t>
  </si>
  <si>
    <t>Supportive Service Reserve</t>
  </si>
  <si>
    <t>Total Costs</t>
  </si>
  <si>
    <t>Total Average</t>
  </si>
  <si>
    <t>Average per Unit</t>
  </si>
  <si>
    <t>Gross Income</t>
  </si>
  <si>
    <t>Vacancy/Bad Debt</t>
  </si>
  <si>
    <t>Total Revenue</t>
  </si>
  <si>
    <t>Office Expenses and Phone</t>
  </si>
  <si>
    <t>Advertising, Accounting, Legal Fees</t>
  </si>
  <si>
    <t>Payroll, Payroll Taxes and Benefits</t>
  </si>
  <si>
    <t>Property Insurance</t>
  </si>
  <si>
    <t>Maintenace Repairs and Contracts</t>
  </si>
  <si>
    <t>Utilities</t>
  </si>
  <si>
    <t>Property Management</t>
  </si>
  <si>
    <t>Support Services</t>
  </si>
  <si>
    <t>Total minus Taxes and Reserves</t>
  </si>
  <si>
    <t>Wisconsin Standard Multifamily Tax Subsidy Project Estimated Maximum Rent Limits</t>
  </si>
  <si>
    <t>2024 DCHA Voucher Program Multi-Unit Utility Allowance Worksheet</t>
  </si>
  <si>
    <t>0-BR</t>
  </si>
  <si>
    <t>1-BR</t>
  </si>
  <si>
    <t>2-BR</t>
  </si>
  <si>
    <t>3-BR</t>
  </si>
  <si>
    <t>4-BR</t>
  </si>
  <si>
    <t>5-BR</t>
  </si>
  <si>
    <t>HEAT</t>
  </si>
  <si>
    <t>Electric</t>
  </si>
  <si>
    <t>COOKING FUEL</t>
  </si>
  <si>
    <t>HOT WATER</t>
  </si>
  <si>
    <t>REFRIGERATOR</t>
  </si>
  <si>
    <t>WATER &amp; SEWER</t>
  </si>
  <si>
    <t>AIR CONDITIONING</t>
  </si>
  <si>
    <t>BASE CHARGES</t>
  </si>
  <si>
    <t>TOTAL</t>
  </si>
  <si>
    <t>2024 DCHA Voucher Program Townhome Utility Allowance Worksheet</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</si>
</sst>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_(&quot;$&quot;* #,##0.00_);_(&quot;$&quot;* \(#,##0.00\);_(&quot;$&quot;* &quot;-&quot;??_);_(@_)"/>
    <numFmt numFmtId="165" formatCode="_(* #,##0_);_(* \(#,##0\);_(* &quot;-&quot;??_);_(@_)"/>
    <numFmt numFmtId="166" formatCode="_(* #,##0.00_);_(* \(#,##0.00\);_(* &quot;-&quot;??_);_(@_)"/>
    <numFmt numFmtId="167" formatCode="&quot;$&quot;#,##0_);[Red]\(&quot;$&quot;#,##0\)"/>
    <numFmt numFmtId="168" formatCode="&quot;$&quot;#,##0.00_);[Red]\(&quot;$&quot;#,##0.00\)"/>
    <numFmt numFmtId="169" formatCode="_(&quot;$&quot;* #,##0_);_(&quot;$&quot;* \(#,##0\);_(&quot;$&quot;* &quot;-&quot;??_);_(@_)"/>
    <numFmt numFmtId="170" formatCode="&quot;$&quot;#,##0.00"/>
    <numFmt numFmtId="171" formatCode="&quot;$&quot;#,##0"/>
    <numFmt numFmtId="172" formatCode="0.000%"/>
    <numFmt numFmtId="173" formatCode="0.0%"/>
    <numFmt numFmtId="174" formatCode="0.0"/>
  </numFmts>
  <fonts count="39">
    <font>
      <sz val="11.0"/>
      <color theme="1"/>
      <name val="Arial"/>
      <scheme val="minor"/>
    </font>
    <font>
      <b/>
      <color rgb="FF2E6E6E"/>
      <name val="Arial"/>
    </font>
    <font>
      <b/>
      <sz val="17.0"/>
      <color rgb="FF1F3864"/>
      <name val="Arial"/>
    </font>
    <font>
      <i/>
      <sz val="11.0"/>
      <color rgb="FF444444"/>
      <name val="Arial"/>
    </font>
    <font>
      <i/>
      <color rgb="FF777777"/>
      <name val="Arial"/>
    </font>
    <font>
      <color rgb="FF666666"/>
      <name val="Arial"/>
    </font>
    <font>
      <b/>
      <sz val="11.0"/>
      <color rgb="FF2E6E6E"/>
      <name val="Arial"/>
    </font>
    <font>
      <sz val="11.0"/>
      <color rgb="FF000000"/>
      <name val="Arial"/>
    </font>
    <font>
      <b/>
      <color rgb="FF1F3864"/>
      <name val="Arial"/>
    </font>
    <font>
      <color rgb="FF000000"/>
      <name val="Arial"/>
    </font>
    <font>
      <sz val="11.0"/>
      <color theme="1"/>
      <name val="Calibri"/>
    </font>
    <font>
      <b/>
      <sz val="20.0"/>
      <color theme="1"/>
      <name val="Calibri"/>
    </font>
    <font>
      <b/>
      <sz val="11.0"/>
      <color theme="1"/>
      <name val="Calibri"/>
    </font>
    <font>
      <b/>
      <sz val="12.0"/>
      <color theme="1"/>
      <name val="Calibri"/>
    </font>
    <font>
      <u/>
      <sz val="11.0"/>
      <color theme="10"/>
      <name val="Calibri"/>
    </font>
    <font>
      <sz val="11.0"/>
      <color theme="1"/>
      <name val="Arial"/>
    </font>
    <font>
      <b/>
      <sz val="14.0"/>
      <color theme="1"/>
      <name val="Calibri"/>
    </font>
    <font/>
    <font>
      <i/>
      <sz val="11.0"/>
      <color theme="1"/>
      <name val="Calibri"/>
    </font>
    <font>
      <b/>
      <sz val="10.0"/>
      <color rgb="FF000000"/>
      <name val="Calibri"/>
    </font>
    <font>
      <sz val="11.0"/>
      <color rgb="FF000000"/>
      <name val="Calibri"/>
    </font>
    <font>
      <b/>
      <sz val="11.0"/>
      <color rgb="FF000000"/>
      <name val="Calibri"/>
    </font>
    <font>
      <sz val="11.0"/>
      <color rgb="FFFF0000"/>
      <name val="Calibri"/>
    </font>
    <font>
      <sz val="10.0"/>
      <color theme="1"/>
      <name val="Calibri"/>
    </font>
    <font>
      <b/>
      <sz val="10.0"/>
      <color theme="1"/>
      <name val="Calibri"/>
    </font>
    <font>
      <sz val="12.0"/>
      <color theme="1"/>
      <name val="Calibri"/>
    </font>
    <font>
      <b/>
      <sz val="11.0"/>
      <color theme="1"/>
      <name val="Arial"/>
    </font>
    <font>
      <i/>
      <sz val="10.0"/>
      <color theme="1"/>
      <name val="Calibri"/>
    </font>
    <font>
      <i/>
      <sz val="11.0"/>
      <color theme="1"/>
      <name val="Arial"/>
    </font>
    <font>
      <sz val="10.0"/>
      <color rgb="FF000000"/>
      <name val="Calibri"/>
    </font>
    <font>
      <b/>
      <sz val="12.0"/>
      <color rgb="FF000000"/>
      <name val="Calibri"/>
    </font>
    <font>
      <sz val="9.0"/>
      <color theme="1"/>
      <name val="Arial"/>
    </font>
    <font>
      <i/>
      <sz val="8.0"/>
      <color theme="1"/>
      <name val="Arial"/>
    </font>
    <font>
      <b/>
      <sz val="14.0"/>
      <color theme="1"/>
      <name val="Times New Roman"/>
    </font>
    <font>
      <i/>
      <sz val="11.0"/>
      <color theme="0"/>
      <name val="Arial"/>
    </font>
    <font>
      <sz val="11.0"/>
      <color rgb="FFFF0000"/>
      <name val="Arial"/>
    </font>
    <font>
      <b/>
      <u/>
      <sz val="11.0"/>
      <color theme="1"/>
      <name val="Calibri"/>
    </font>
    <font>
      <b/>
      <u/>
      <sz val="11.0"/>
      <color theme="1"/>
      <name val="Calibri"/>
    </font>
    <font>
      <b/>
      <u/>
      <sz val="11.0"/>
      <color theme="1"/>
      <name val="Arial"/>
    </font>
  </fonts>
  <fills count="12">
    <fill>
      <patternFill patternType="none"/>
    </fill>
    <fill>
      <patternFill patternType="lightGray"/>
    </fill>
    <fill>
      <patternFill patternType="solid">
        <fgColor rgb="FFFFD965"/>
        <bgColor rgb="FFFFD965"/>
      </patternFill>
    </fill>
    <fill>
      <patternFill patternType="solid">
        <fgColor rgb="FFFFFFCC"/>
        <bgColor rgb="FFFFFFCC"/>
      </patternFill>
    </fill>
    <fill>
      <patternFill patternType="solid">
        <fgColor rgb="FFD8D8D8"/>
        <bgColor rgb="FFD8D8D8"/>
      </patternFill>
    </fill>
    <fill>
      <patternFill patternType="solid">
        <fgColor rgb="FFE7E6E6"/>
        <bgColor rgb="FFE7E6E6"/>
      </patternFill>
    </fill>
    <fill>
      <patternFill patternType="solid">
        <fgColor rgb="FFECECEC"/>
        <bgColor rgb="FFECECEC"/>
      </patternFill>
    </fill>
    <fill>
      <patternFill patternType="solid">
        <fgColor rgb="FFF2F2F2"/>
        <bgColor rgb="FFF2F2F2"/>
      </patternFill>
    </fill>
    <fill>
      <patternFill patternType="solid">
        <fgColor theme="0"/>
        <bgColor theme="0"/>
      </patternFill>
    </fill>
    <fill>
      <patternFill patternType="solid">
        <fgColor rgb="FFFFFFCD"/>
        <bgColor rgb="FFFFFFCD"/>
      </patternFill>
    </fill>
    <fill>
      <patternFill patternType="solid">
        <fgColor rgb="FFDADADA"/>
        <bgColor rgb="FFDADADA"/>
      </patternFill>
    </fill>
    <fill>
      <patternFill patternType="solid">
        <fgColor rgb="FFFFFF00"/>
        <bgColor rgb="FFFFFF00"/>
      </patternFill>
    </fill>
  </fills>
  <borders count="114">
    <border/>
    <border>
      <bottom style="medium">
        <color rgb="FF000000"/>
      </bottom>
    </border>
    <border>
      <bottom style="thin">
        <color rgb="FF000000"/>
      </bottom>
    </border>
    <border>
      <top style="thin">
        <color rgb="FF000000"/>
      </top>
      <bottom style="thin">
        <color rgb="FF000000"/>
      </bottom>
    </border>
    <border>
      <left/>
      <top/>
      <bottom/>
    </border>
    <border>
      <top/>
      <bottom/>
    </border>
    <border>
      <left style="medium">
        <color rgb="FF000000"/>
      </left>
      <right style="thin">
        <color rgb="FF000000"/>
      </right>
      <top style="thin">
        <color rgb="FF000000"/>
      </top>
      <bottom style="thin">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top style="medium">
        <color rgb="FF000000"/>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right style="thin">
        <color rgb="FF000000"/>
      </right>
      <bottom style="thin">
        <color rgb="FF000000"/>
      </bottom>
    </border>
    <border>
      <left style="thin">
        <color rgb="FF000000"/>
      </left>
      <right style="medium">
        <color rgb="FF000000"/>
      </right>
      <bottom style="thin">
        <color rgb="FF000000"/>
      </bottom>
    </border>
    <border>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right style="thin">
        <color rgb="FF000000"/>
      </right>
      <top style="thin">
        <color rgb="FF000000"/>
      </top>
    </border>
    <border>
      <left style="thin">
        <color rgb="FF000000"/>
      </left>
      <right style="medium">
        <color rgb="FF000000"/>
      </right>
      <top style="thin">
        <color rgb="FF000000"/>
      </top>
    </border>
    <border>
      <left style="medium">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top style="medium">
        <color rgb="FF000000"/>
      </top>
      <bottom style="medium">
        <color rgb="FF000000"/>
      </bottom>
    </border>
    <border>
      <left style="medium">
        <color rgb="FF000000"/>
      </left>
      <right style="thin">
        <color rgb="FF000000"/>
      </right>
      <top/>
      <bottom style="thin">
        <color rgb="FF000000"/>
      </bottom>
    </border>
    <border>
      <left style="thin">
        <color rgb="FF000000"/>
      </left>
      <right style="thin">
        <color rgb="FF000000"/>
      </right>
      <top/>
      <bottom/>
    </border>
    <border>
      <left style="thin">
        <color rgb="FF000000"/>
      </left>
      <right/>
      <top/>
      <bottom style="thin">
        <color rgb="FF000000"/>
      </bottom>
    </border>
    <border>
      <left style="thin">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top/>
      <bottom style="thin">
        <color rgb="FF000000"/>
      </bottom>
    </border>
    <border>
      <left style="thin">
        <color rgb="FF000000"/>
      </left>
      <bottom style="thin">
        <color rgb="FF000000"/>
      </bottom>
    </border>
    <border>
      <left style="thin">
        <color rgb="FF000000"/>
      </left>
      <right style="thin">
        <color rgb="FF000000"/>
      </right>
      <bottom style="thin">
        <color rgb="FF000000"/>
      </bottom>
    </border>
    <border>
      <right style="medium">
        <color rgb="FF000000"/>
      </right>
      <bottom style="thin">
        <color rgb="FF000000"/>
      </bottom>
    </border>
    <border>
      <right style="medium">
        <color rgb="FF000000"/>
      </right>
      <top style="thin">
        <color rgb="FF000000"/>
      </top>
      <bottom style="thin">
        <color rgb="FF000000"/>
      </bottom>
    </border>
    <border>
      <left style="thin">
        <color rgb="FF000000"/>
      </left>
      <right style="thin">
        <color rgb="FF000000"/>
      </right>
      <top/>
      <bottom style="medium">
        <color rgb="FF000000"/>
      </bottom>
    </border>
    <border>
      <left style="thin">
        <color rgb="FF000000"/>
      </left>
      <bottom style="medium">
        <color rgb="FF000000"/>
      </bottom>
    </border>
    <border>
      <left style="thin">
        <color rgb="FF000000"/>
      </left>
      <right style="thin">
        <color rgb="FF000000"/>
      </right>
      <top style="thin">
        <color rgb="FF000000"/>
      </top>
      <bottom style="medium">
        <color rgb="FF000000"/>
      </bottom>
    </border>
    <border>
      <right style="medium">
        <color rgb="FF000000"/>
      </right>
      <bottom style="medium">
        <color rgb="FF000000"/>
      </bottom>
    </border>
    <border>
      <left style="thin">
        <color rgb="FF000000"/>
      </left>
      <top style="thin">
        <color rgb="FF000000"/>
      </top>
    </border>
    <border>
      <left style="thin">
        <color rgb="FF000000"/>
      </left>
      <bottom style="double">
        <color rgb="FF000000"/>
      </bottom>
    </border>
    <border>
      <right style="thin">
        <color rgb="FF000000"/>
      </right>
      <bottom style="double">
        <color rgb="FF000000"/>
      </bottom>
    </border>
    <border>
      <left style="thin">
        <color rgb="FF000000"/>
      </left>
      <top style="double">
        <color rgb="FF000000"/>
      </top>
      <bottom style="thin">
        <color rgb="FF000000"/>
      </bottom>
    </border>
    <border>
      <right style="thin">
        <color rgb="FF000000"/>
      </right>
      <top style="double">
        <color rgb="FF000000"/>
      </top>
      <bottom style="thin">
        <color rgb="FF000000"/>
      </bottom>
    </border>
    <border>
      <left style="medium">
        <color rgb="FF000000"/>
      </left>
      <right style="medium">
        <color rgb="FF000000"/>
      </right>
      <top style="medium">
        <color rgb="FF000000"/>
      </top>
      <bottom/>
    </border>
    <border>
      <left style="medium">
        <color rgb="FF000000"/>
      </left>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style="medium">
        <color rgb="FF000000"/>
      </left>
      <right/>
      <top/>
      <bottom style="thin">
        <color rgb="FF000000"/>
      </bottom>
    </border>
    <border>
      <left style="medium">
        <color rgb="FF000000"/>
      </left>
      <right style="medium">
        <color rgb="FF000000"/>
      </right>
      <top/>
      <bottom style="thin">
        <color rgb="FF000000"/>
      </bottom>
    </border>
    <border>
      <left style="medium">
        <color rgb="FF000000"/>
      </left>
      <top style="thin">
        <color rgb="FF000000"/>
      </top>
      <bottom style="thin">
        <color rgb="FF000000"/>
      </bottom>
    </border>
    <border>
      <left style="medium">
        <color rgb="FF000000"/>
      </left>
      <right style="medium">
        <color rgb="FF000000"/>
      </right>
      <top style="thin">
        <color rgb="FF000000"/>
      </top>
      <bottom style="thin">
        <color rgb="FF000000"/>
      </bottom>
    </border>
    <border>
      <left style="medium">
        <color rgb="FF000000"/>
      </left>
      <top style="thin">
        <color rgb="FF000000"/>
      </top>
    </border>
    <border>
      <left style="medium">
        <color rgb="FF000000"/>
      </left>
      <right style="medium">
        <color rgb="FF000000"/>
      </right>
      <top style="medium">
        <color rgb="FF000000"/>
      </top>
      <bottom style="medium">
        <color rgb="FF000000"/>
      </bottom>
    </border>
    <border>
      <left style="medium">
        <color rgb="FF000000"/>
      </left>
      <right/>
      <top style="thin">
        <color rgb="FF000000"/>
      </top>
      <bottom style="thin">
        <color rgb="FF000000"/>
      </bottom>
    </border>
    <border>
      <left style="medium">
        <color rgb="FF000000"/>
      </left>
      <right style="medium">
        <color rgb="FF000000"/>
      </right>
      <top style="thin">
        <color rgb="FF000000"/>
      </top>
      <bottom/>
    </border>
    <border>
      <top style="medium">
        <color rgb="FF000000"/>
      </top>
    </border>
    <border>
      <left style="medium">
        <color rgb="FF000000"/>
      </left>
      <right style="medium">
        <color rgb="FF000000"/>
      </right>
      <top style="medium">
        <color rgb="FF000000"/>
      </top>
      <bottom style="thin">
        <color rgb="FF000000"/>
      </bottom>
    </border>
    <border>
      <left style="medium">
        <color rgb="FF000000"/>
      </left>
    </border>
    <border>
      <left style="medium">
        <color rgb="FF000000"/>
      </left>
      <right style="medium">
        <color rgb="FF000000"/>
      </right>
    </border>
    <border>
      <left style="medium">
        <color rgb="FF000000"/>
      </left>
      <right style="medium">
        <color rgb="FF000000"/>
      </right>
      <bottom style="medium">
        <color rgb="FF000000"/>
      </bottom>
    </border>
    <border>
      <top style="medium">
        <color rgb="FF000000"/>
      </top>
      <bottom style="medium">
        <color rgb="FF000000"/>
      </bottom>
    </border>
    <border>
      <left style="medium">
        <color rgb="FF000000"/>
      </left>
      <bottom style="thin">
        <color rgb="FF000000"/>
      </bottom>
    </border>
    <border>
      <left/>
      <right style="medium">
        <color rgb="FF000000"/>
      </right>
      <top style="thin">
        <color rgb="FF000000"/>
      </top>
      <bottom style="thin">
        <color rgb="FF000000"/>
      </bottom>
    </border>
    <border>
      <left style="medium">
        <color rgb="FF000000"/>
      </left>
      <top style="thin">
        <color rgb="FF000000"/>
      </top>
      <bottom style="double">
        <color rgb="FF000000"/>
      </bottom>
    </border>
    <border>
      <left style="medium">
        <color rgb="FF000000"/>
      </left>
      <right style="medium">
        <color rgb="FF000000"/>
      </right>
      <top style="thin">
        <color rgb="FF000000"/>
      </top>
      <bottom style="double">
        <color rgb="FF000000"/>
      </bottom>
    </border>
    <border>
      <left/>
      <right style="medium">
        <color rgb="FF000000"/>
      </right>
      <top style="thin">
        <color rgb="FF000000"/>
      </top>
      <bottom style="double">
        <color rgb="FF000000"/>
      </bottom>
    </border>
    <border>
      <left style="medium">
        <color rgb="FF000000"/>
      </left>
      <right style="medium">
        <color rgb="FF000000"/>
      </right>
      <bottom style="thin">
        <color rgb="FF000000"/>
      </bottom>
    </border>
    <border>
      <left style="medium">
        <color rgb="FF000000"/>
      </left>
      <right style="medium">
        <color rgb="FF000000"/>
      </right>
      <top style="medium">
        <color rgb="FF000000"/>
      </top>
    </border>
    <border>
      <right style="medium">
        <color rgb="FF000000"/>
      </right>
      <top style="thin">
        <color rgb="FF000000"/>
      </top>
      <bottom style="double">
        <color rgb="FF000000"/>
      </bottom>
    </border>
    <border>
      <left/>
      <right/>
      <top/>
      <bottom/>
    </border>
    <border>
      <left/>
      <right/>
      <top/>
      <bottom style="thin">
        <color rgb="FF000000"/>
      </bottom>
    </border>
    <border>
      <left style="medium">
        <color rgb="FF000000"/>
      </left>
      <right/>
      <top style="medium">
        <color rgb="FF000000"/>
      </top>
      <bottom/>
    </border>
    <border>
      <left/>
      <right style="medium">
        <color rgb="FF000000"/>
      </right>
      <top style="medium">
        <color rgb="FF000000"/>
      </top>
      <bottom/>
    </border>
    <border>
      <left style="medium">
        <color rgb="FF000000"/>
      </left>
      <right/>
      <top/>
      <bottom style="medium">
        <color rgb="FF000000"/>
      </bottom>
    </border>
    <border>
      <left/>
      <right style="medium">
        <color rgb="FF000000"/>
      </right>
      <top/>
      <bottom style="medium">
        <color rgb="FF000000"/>
      </bottom>
    </border>
    <border>
      <bottom style="double">
        <color rgb="FF000000"/>
      </bottom>
    </border>
    <border>
      <right style="thin">
        <color rgb="FF000000"/>
      </right>
      <top/>
      <bottom/>
    </border>
    <border>
      <left style="thin">
        <color rgb="FF000000"/>
      </left>
      <top style="medium">
        <color rgb="FF000000"/>
      </top>
      <bottom style="medium">
        <color rgb="FF000000"/>
      </bottom>
    </border>
    <border>
      <left style="medium">
        <color rgb="FF000000"/>
      </left>
      <right style="medium">
        <color rgb="FF000000"/>
      </right>
      <top style="thin">
        <color rgb="FF000000"/>
      </top>
    </border>
    <border>
      <left style="medium">
        <color rgb="FF000000"/>
      </left>
      <right style="thin">
        <color rgb="FF000000"/>
      </right>
      <top style="thin">
        <color rgb="FF000000"/>
      </top>
      <bottom style="medium">
        <color rgb="FF000000"/>
      </bottom>
    </border>
    <border>
      <left style="medium">
        <color rgb="FF000000"/>
      </left>
      <right style="medium">
        <color rgb="FF000000"/>
      </right>
      <top style="thin">
        <color rgb="FF000000"/>
      </top>
      <bottom style="medium">
        <color rgb="FF000000"/>
      </bottom>
    </border>
    <border>
      <left style="medium">
        <color rgb="FF000000"/>
      </left>
      <right style="thin">
        <color rgb="FF000000"/>
      </right>
      <top style="medium">
        <color rgb="FF000000"/>
      </top>
    </border>
    <border>
      <left/>
      <right style="thin">
        <color rgb="FF000000"/>
      </right>
      <top style="medium">
        <color rgb="FF000000"/>
      </top>
      <bottom style="thin">
        <color rgb="FF000000"/>
      </bottom>
    </border>
    <border>
      <left style="medium">
        <color rgb="FF000000"/>
      </left>
      <right/>
      <top style="medium">
        <color rgb="FF000000"/>
      </top>
      <bottom style="thin">
        <color rgb="FF000000"/>
      </bottom>
    </border>
    <border>
      <left/>
      <right style="thin">
        <color rgb="FF000000"/>
      </right>
      <top style="thin">
        <color rgb="FF000000"/>
      </top>
      <bottom style="thin">
        <color rgb="FF000000"/>
      </bottom>
    </border>
    <border>
      <right style="medium">
        <color rgb="FF000000"/>
      </right>
    </border>
    <border>
      <left/>
      <right style="medium">
        <color rgb="FF000000"/>
      </right>
      <top style="thin">
        <color rgb="FF000000"/>
      </top>
      <bottom style="medium">
        <color rgb="FF000000"/>
      </bottom>
    </border>
    <border>
      <left/>
      <right/>
      <top style="thin">
        <color rgb="FF000000"/>
      </top>
      <bottom style="medium">
        <color rgb="FF000000"/>
      </bottom>
    </border>
    <border>
      <left style="medium">
        <color rgb="FF000000"/>
      </left>
      <right/>
      <top style="thin">
        <color rgb="FF000000"/>
      </top>
      <bottom style="medium">
        <color rgb="FF000000"/>
      </bottom>
    </border>
    <border>
      <left style="thin">
        <color rgb="FF000000"/>
      </left>
      <right style="thin">
        <color rgb="FF000000"/>
      </right>
      <top style="thin">
        <color rgb="FF000000"/>
      </top>
    </border>
    <border>
      <left style="medium">
        <color rgb="FF000000"/>
      </left>
      <top style="medium">
        <color rgb="FF000000"/>
      </top>
    </border>
    <border>
      <left style="medium">
        <color rgb="FF000000"/>
      </left>
      <right style="thin">
        <color rgb="FF000000"/>
      </right>
      <top style="thin">
        <color rgb="FF000000"/>
      </top>
      <bottom style="double">
        <color rgb="FF000000"/>
      </bottom>
    </border>
    <border>
      <left style="thin">
        <color rgb="FF000000"/>
      </left>
      <right style="thin">
        <color rgb="FF000000"/>
      </right>
      <top style="thin">
        <color rgb="FF000000"/>
      </top>
      <bottom style="double">
        <color rgb="FF000000"/>
      </bottom>
    </border>
    <border>
      <right style="thin">
        <color rgb="FF000000"/>
      </right>
      <top style="thin">
        <color rgb="FF000000"/>
      </top>
      <bottom style="double">
        <color rgb="FF000000"/>
      </bottom>
    </border>
    <border>
      <left style="medium">
        <color rgb="FF000000"/>
      </left>
      <bottom style="double">
        <color rgb="FF000000"/>
      </bottom>
    </border>
    <border>
      <right style="medium">
        <color rgb="FF000000"/>
      </right>
      <bottom style="double">
        <color rgb="FF000000"/>
      </bottom>
    </border>
    <border>
      <left style="medium">
        <color rgb="FF000000"/>
      </left>
      <right style="medium">
        <color rgb="FF000000"/>
      </right>
      <top style="double">
        <color rgb="FF000000"/>
      </top>
      <bottom style="medium">
        <color rgb="FF000000"/>
      </bottom>
    </border>
    <border>
      <left style="medium">
        <color rgb="FF000000"/>
      </left>
      <top style="thin">
        <color rgb="FF000000"/>
      </top>
      <bottom style="medium">
        <color rgb="FF000000"/>
      </bottom>
    </border>
    <border>
      <right style="medium">
        <color rgb="FF000000"/>
      </right>
      <top style="thin">
        <color rgb="FF000000"/>
      </top>
      <bottom style="medium">
        <color rgb="FF000000"/>
      </bottom>
    </border>
    <border>
      <left style="thin">
        <color rgb="FF000000"/>
      </left>
      <top style="thin">
        <color rgb="FF000000"/>
      </top>
      <bottom style="thin">
        <color rgb="FF000000"/>
      </bottom>
    </border>
    <border>
      <right style="medium">
        <color rgb="FF000000"/>
      </right>
      <top style="medium">
        <color rgb="FF000000"/>
      </top>
    </border>
    <border>
      <top style="thin">
        <color rgb="FF000000"/>
      </top>
    </border>
    <border>
      <right style="medium">
        <color rgb="FF000000"/>
      </right>
      <top style="thin">
        <color rgb="FF000000"/>
      </top>
    </border>
    <border>
      <left style="medium">
        <color rgb="FF000000"/>
      </left>
      <bottom style="medium">
        <color rgb="FF000000"/>
      </bottom>
    </border>
    <border>
      <left/>
      <right/>
      <top/>
      <bottom style="medium">
        <color rgb="FF000000"/>
      </bottom>
    </border>
    <border>
      <left style="thin">
        <color rgb="FF000000"/>
      </left>
    </border>
    <border>
      <left style="thin">
        <color rgb="FF000000"/>
      </left>
      <right style="thin">
        <color rgb="FF000000"/>
      </right>
      <top style="thin">
        <color rgb="FF000000"/>
      </top>
      <bottom/>
    </border>
    <border>
      <left style="thin">
        <color rgb="FF000000"/>
      </left>
      <right/>
      <top style="thin">
        <color rgb="FF000000"/>
      </top>
      <bottom/>
    </border>
    <border>
      <left style="medium">
        <color rgb="FF000000"/>
      </left>
      <right/>
      <top/>
      <bottom/>
    </border>
    <border>
      <left/>
      <right style="medium">
        <color rgb="FF000000"/>
      </right>
      <top/>
      <bottom/>
    </border>
    <border>
      <left/>
      <right style="medium">
        <color rgb="FF000000"/>
      </right>
      <top/>
      <bottom style="thin">
        <color rgb="FF000000"/>
      </bottom>
    </border>
    <border>
      <right style="thin">
        <color rgb="FF000000"/>
      </right>
    </border>
  </borders>
  <cellStyleXfs count="1">
    <xf borderId="0" fillId="0" fontId="0" numFmtId="0" applyAlignment="1" applyFont="1"/>
  </cellStyleXfs>
  <cellXfs count="484">
    <xf borderId="0" fillId="0" fontId="0" numFmtId="0" xfId="0" applyAlignment="1" applyFont="1">
      <alignment readingOrder="0" shrinkToFit="0" vertical="bottom" wrapText="0"/>
    </xf>
    <xf borderId="0" fillId="0" fontId="1" numFmtId="0" xfId="0" applyAlignment="1" applyFont="1">
      <alignment readingOrder="0" vertical="center"/>
    </xf>
    <xf borderId="0" fillId="0" fontId="2" numFmtId="0" xfId="0" applyAlignment="1" applyFont="1">
      <alignment readingOrder="0"/>
    </xf>
    <xf borderId="0" fillId="0" fontId="3" numFmtId="0" xfId="0" applyAlignment="1" applyFont="1">
      <alignment readingOrder="0"/>
    </xf>
    <xf borderId="0" fillId="0" fontId="4" numFmtId="0" xfId="0" applyAlignment="1" applyFont="1">
      <alignment readingOrder="0" shrinkToFit="0" wrapText="1"/>
    </xf>
    <xf borderId="0" fillId="0" fontId="5" numFmtId="0" xfId="0" applyFont="1"/>
    <xf borderId="0" fillId="0" fontId="6" numFmtId="0" xfId="0" applyAlignment="1" applyFont="1">
      <alignment readingOrder="0"/>
    </xf>
    <xf borderId="0" fillId="0" fontId="7" numFmtId="0" xfId="0" applyAlignment="1" applyFont="1">
      <alignment readingOrder="0" shrinkToFit="0" wrapText="1"/>
    </xf>
    <xf borderId="0" fillId="0" fontId="7" numFmtId="0" xfId="0" applyFont="1"/>
    <xf borderId="0" fillId="0" fontId="8" numFmtId="0" xfId="0" applyAlignment="1" applyFont="1">
      <alignment horizontal="left" readingOrder="0" shrinkToFit="0" textRotation="0" wrapText="1"/>
    </xf>
    <xf borderId="0" fillId="0" fontId="9" numFmtId="0" xfId="0" applyAlignment="1" applyFont="1">
      <alignment horizontal="left" readingOrder="0" shrinkToFit="0" wrapText="1"/>
    </xf>
    <xf borderId="0" fillId="0" fontId="6" numFmtId="0" xfId="0" applyAlignment="1" applyFont="1">
      <alignment horizontal="left"/>
    </xf>
    <xf borderId="0" fillId="0" fontId="4" numFmtId="0" xfId="0" applyFont="1"/>
    <xf borderId="0" fillId="0" fontId="10" numFmtId="0" xfId="0" applyFont="1"/>
    <xf borderId="0" fillId="0" fontId="11" numFmtId="0" xfId="0" applyFont="1"/>
    <xf borderId="0" fillId="0" fontId="12" numFmtId="0" xfId="0" applyFont="1"/>
    <xf quotePrefix="1" borderId="0" fillId="0" fontId="13" numFmtId="0" xfId="0" applyFont="1"/>
    <xf borderId="0" fillId="0" fontId="10" numFmtId="0" xfId="0" applyAlignment="1" applyFont="1">
      <alignment horizontal="left" shrinkToFit="0" wrapText="1"/>
    </xf>
    <xf borderId="0" fillId="0" fontId="10" numFmtId="1" xfId="0" applyFont="1" applyNumberFormat="1"/>
    <xf quotePrefix="1" borderId="1" fillId="0" fontId="12" numFmtId="0" xfId="0" applyBorder="1" applyFont="1"/>
    <xf borderId="1" fillId="0" fontId="12" numFmtId="1" xfId="0" applyBorder="1" applyFont="1" applyNumberFormat="1"/>
    <xf borderId="1" fillId="0" fontId="12" numFmtId="0" xfId="0" applyBorder="1" applyFont="1"/>
    <xf borderId="2" fillId="0" fontId="10" numFmtId="0" xfId="0" applyAlignment="1" applyBorder="1" applyFont="1">
      <alignment horizontal="left" vertical="top"/>
    </xf>
    <xf borderId="2" fillId="0" fontId="10" numFmtId="0" xfId="0" applyAlignment="1" applyBorder="1" applyFont="1">
      <alignment vertical="top"/>
    </xf>
    <xf borderId="2" fillId="0" fontId="10" numFmtId="1" xfId="0" applyAlignment="1" applyBorder="1" applyFont="1" applyNumberFormat="1">
      <alignment shrinkToFit="0" vertical="top" wrapText="1"/>
    </xf>
    <xf borderId="2" fillId="0" fontId="10" numFmtId="0" xfId="0" applyAlignment="1" applyBorder="1" applyFont="1">
      <alignment shrinkToFit="0" vertical="top" wrapText="1"/>
    </xf>
    <xf borderId="3" fillId="0" fontId="10" numFmtId="0" xfId="0" applyAlignment="1" applyBorder="1" applyFont="1">
      <alignment horizontal="left" vertical="top"/>
    </xf>
    <xf borderId="3" fillId="0" fontId="10" numFmtId="0" xfId="0" applyAlignment="1" applyBorder="1" applyFont="1">
      <alignment vertical="top"/>
    </xf>
    <xf borderId="3" fillId="0" fontId="10" numFmtId="1" xfId="0" applyAlignment="1" applyBorder="1" applyFont="1" applyNumberFormat="1">
      <alignment shrinkToFit="0" vertical="top" wrapText="1"/>
    </xf>
    <xf borderId="3" fillId="0" fontId="14" numFmtId="0" xfId="0" applyAlignment="1" applyBorder="1" applyFont="1">
      <alignment shrinkToFit="0" vertical="top" wrapText="1"/>
    </xf>
    <xf borderId="3" fillId="0" fontId="10" numFmtId="0" xfId="0" applyAlignment="1" applyBorder="1" applyFont="1">
      <alignment shrinkToFit="0" vertical="top" wrapText="1"/>
    </xf>
    <xf borderId="0" fillId="0" fontId="10" numFmtId="0" xfId="0" applyAlignment="1" applyFont="1">
      <alignment horizontal="left" vertical="top"/>
    </xf>
    <xf borderId="0" fillId="0" fontId="10" numFmtId="0" xfId="0" applyAlignment="1" applyFont="1">
      <alignment vertical="top"/>
    </xf>
    <xf borderId="0" fillId="0" fontId="10" numFmtId="0" xfId="0" applyAlignment="1" applyFont="1">
      <alignment shrinkToFit="0" vertical="top" wrapText="1"/>
    </xf>
    <xf borderId="0" fillId="0" fontId="10" numFmtId="0" xfId="0" applyAlignment="1" applyFont="1">
      <alignment horizontal="right"/>
    </xf>
    <xf borderId="0" fillId="0" fontId="15" numFmtId="0" xfId="0" applyFont="1"/>
    <xf borderId="4" fillId="2" fontId="16" numFmtId="0" xfId="0" applyAlignment="1" applyBorder="1" applyFill="1" applyFont="1">
      <alignment horizontal="center"/>
    </xf>
    <xf borderId="5" fillId="0" fontId="17" numFmtId="0" xfId="0" applyBorder="1" applyFont="1"/>
    <xf borderId="0" fillId="0" fontId="16" numFmtId="0" xfId="0" applyFont="1"/>
    <xf borderId="6" fillId="3" fontId="18" numFmtId="0" xfId="0" applyBorder="1" applyFill="1" applyFont="1"/>
    <xf borderId="7" fillId="4" fontId="19" numFmtId="0" xfId="0" applyAlignment="1" applyBorder="1" applyFill="1" applyFont="1">
      <alignment horizontal="center"/>
    </xf>
    <xf borderId="8" fillId="0" fontId="17" numFmtId="0" xfId="0" applyBorder="1" applyFont="1"/>
    <xf borderId="9" fillId="4" fontId="19" numFmtId="0" xfId="0" applyAlignment="1" applyBorder="1" applyFont="1">
      <alignment horizontal="center"/>
    </xf>
    <xf borderId="10" fillId="0" fontId="10" numFmtId="0" xfId="0" applyBorder="1" applyFont="1"/>
    <xf borderId="11" fillId="0" fontId="10" numFmtId="164" xfId="0" applyAlignment="1" applyBorder="1" applyFont="1" applyNumberFormat="1">
      <alignment horizontal="right"/>
    </xf>
    <xf borderId="12" fillId="0" fontId="20" numFmtId="0" xfId="0" applyBorder="1" applyFont="1"/>
    <xf borderId="13" fillId="0" fontId="10" numFmtId="164" xfId="0" applyBorder="1" applyFont="1" applyNumberFormat="1"/>
    <xf borderId="0" fillId="0" fontId="18" numFmtId="0" xfId="0" applyAlignment="1" applyFont="1">
      <alignment horizontal="right"/>
    </xf>
    <xf borderId="0" fillId="0" fontId="10" numFmtId="10" xfId="0" applyFont="1" applyNumberFormat="1"/>
    <xf borderId="14" fillId="0" fontId="20" numFmtId="0" xfId="0" applyBorder="1" applyFont="1"/>
    <xf borderId="15" fillId="0" fontId="10" numFmtId="164" xfId="0" applyBorder="1" applyFont="1" applyNumberFormat="1"/>
    <xf borderId="16" fillId="0" fontId="20" numFmtId="0" xfId="0" applyBorder="1" applyFont="1"/>
    <xf borderId="17" fillId="0" fontId="10" numFmtId="164" xfId="0" applyBorder="1" applyFont="1" applyNumberFormat="1"/>
    <xf borderId="18" fillId="0" fontId="21" numFmtId="0" xfId="0" applyBorder="1" applyFont="1"/>
    <xf borderId="19" fillId="0" fontId="10" numFmtId="165" xfId="0" applyAlignment="1" applyBorder="1" applyFont="1" applyNumberFormat="1">
      <alignment horizontal="right"/>
    </xf>
    <xf borderId="20" fillId="0" fontId="21" numFmtId="0" xfId="0" applyBorder="1" applyFont="1"/>
    <xf borderId="19" fillId="0" fontId="10" numFmtId="165" xfId="0" applyBorder="1" applyFont="1" applyNumberFormat="1"/>
    <xf borderId="0" fillId="0" fontId="10" numFmtId="165" xfId="0" applyFont="1" applyNumberFormat="1"/>
    <xf borderId="0" fillId="0" fontId="22" numFmtId="0" xfId="0" applyFont="1"/>
    <xf borderId="0" fillId="0" fontId="10" numFmtId="166" xfId="0" applyFont="1" applyNumberFormat="1"/>
    <xf borderId="4" fillId="2" fontId="13" numFmtId="37" xfId="0" applyAlignment="1" applyBorder="1" applyFont="1" applyNumberFormat="1">
      <alignment horizontal="center"/>
    </xf>
    <xf borderId="0" fillId="0" fontId="13" numFmtId="37" xfId="0" applyFont="1" applyNumberFormat="1"/>
    <xf borderId="0" fillId="0" fontId="23" numFmtId="37" xfId="0" applyFont="1" applyNumberFormat="1"/>
    <xf borderId="18" fillId="5" fontId="10" numFmtId="0" xfId="0" applyBorder="1" applyFill="1" applyFont="1"/>
    <xf borderId="21" fillId="5" fontId="10" numFmtId="0" xfId="0" applyBorder="1" applyFont="1"/>
    <xf borderId="22" fillId="5" fontId="10" numFmtId="0" xfId="0" applyBorder="1" applyFont="1"/>
    <xf borderId="19" fillId="5" fontId="10" numFmtId="0" xfId="0" applyBorder="1" applyFont="1"/>
    <xf borderId="23" fillId="3" fontId="10" numFmtId="0" xfId="0" applyBorder="1" applyFont="1"/>
    <xf borderId="24" fillId="3" fontId="10" numFmtId="0" xfId="0" applyBorder="1" applyFont="1"/>
    <xf borderId="25" fillId="3" fontId="10" numFmtId="164" xfId="0" applyAlignment="1" applyBorder="1" applyFont="1" applyNumberFormat="1">
      <alignment horizontal="right"/>
    </xf>
    <xf borderId="26" fillId="3" fontId="10" numFmtId="10" xfId="0" applyBorder="1" applyFont="1" applyNumberFormat="1"/>
    <xf borderId="26" fillId="3" fontId="10" numFmtId="0" xfId="0" applyBorder="1" applyFont="1"/>
    <xf borderId="27" fillId="0" fontId="10" numFmtId="164" xfId="0" applyBorder="1" applyFont="1" applyNumberFormat="1"/>
    <xf borderId="26" fillId="0" fontId="10" numFmtId="164" xfId="0" applyBorder="1" applyFont="1" applyNumberFormat="1"/>
    <xf borderId="28" fillId="0" fontId="10" numFmtId="164" xfId="0" applyBorder="1" applyFont="1" applyNumberFormat="1"/>
    <xf borderId="0" fillId="0" fontId="10" numFmtId="164" xfId="0" applyFont="1" applyNumberFormat="1"/>
    <xf borderId="10" fillId="3" fontId="10" numFmtId="0" xfId="0" applyBorder="1" applyFont="1"/>
    <xf borderId="29" fillId="3" fontId="10" numFmtId="0" xfId="0" applyBorder="1" applyFont="1"/>
    <xf borderId="30" fillId="3" fontId="10" numFmtId="164" xfId="0" applyAlignment="1" applyBorder="1" applyFont="1" applyNumberFormat="1">
      <alignment horizontal="right"/>
    </xf>
    <xf borderId="29" fillId="3" fontId="10" numFmtId="10" xfId="0" applyBorder="1" applyFont="1" applyNumberFormat="1"/>
    <xf borderId="31" fillId="3" fontId="10" numFmtId="0" xfId="0" applyBorder="1" applyFont="1"/>
    <xf borderId="32" fillId="0" fontId="10" numFmtId="164" xfId="0" applyBorder="1" applyFont="1" applyNumberFormat="1"/>
    <xf borderId="33" fillId="0" fontId="10" numFmtId="164" xfId="0" applyBorder="1" applyFont="1" applyNumberFormat="1"/>
    <xf borderId="34" fillId="0" fontId="10" numFmtId="164" xfId="0" applyBorder="1" applyFont="1" applyNumberFormat="1"/>
    <xf borderId="29" fillId="0" fontId="10" numFmtId="164" xfId="0" applyBorder="1" applyFont="1" applyNumberFormat="1"/>
    <xf borderId="35" fillId="0" fontId="10" numFmtId="164" xfId="0" applyBorder="1" applyFont="1" applyNumberFormat="1"/>
    <xf borderId="36" fillId="3" fontId="10" numFmtId="0" xfId="0" applyBorder="1" applyFont="1"/>
    <xf borderId="37" fillId="0" fontId="10" numFmtId="164" xfId="0" applyBorder="1" applyFont="1" applyNumberFormat="1"/>
    <xf borderId="38" fillId="0" fontId="10" numFmtId="164" xfId="0" applyBorder="1" applyFont="1" applyNumberFormat="1"/>
    <xf borderId="39" fillId="0" fontId="10" numFmtId="164" xfId="0" applyBorder="1" applyFont="1" applyNumberFormat="1"/>
    <xf borderId="0" fillId="0" fontId="12" numFmtId="0" xfId="0" applyAlignment="1" applyFont="1">
      <alignment horizontal="right"/>
    </xf>
    <xf borderId="0" fillId="0" fontId="12" numFmtId="164" xfId="0" applyAlignment="1" applyFont="1" applyNumberFormat="1">
      <alignment horizontal="right"/>
    </xf>
    <xf borderId="0" fillId="0" fontId="12" numFmtId="10" xfId="0" applyFont="1" applyNumberFormat="1"/>
    <xf borderId="0" fillId="0" fontId="12" numFmtId="164" xfId="0" applyFont="1" applyNumberFormat="1"/>
    <xf borderId="0" fillId="0" fontId="12" numFmtId="167" xfId="0" applyFont="1" applyNumberFormat="1"/>
    <xf borderId="0" fillId="0" fontId="18" numFmtId="0" xfId="0" applyFont="1"/>
    <xf borderId="0" fillId="0" fontId="10" numFmtId="168" xfId="0" applyFont="1" applyNumberFormat="1"/>
    <xf borderId="40" fillId="0" fontId="12" numFmtId="0" xfId="0" applyBorder="1" applyFont="1"/>
    <xf borderId="16" fillId="0" fontId="10" numFmtId="164" xfId="0" applyBorder="1" applyFont="1" applyNumberFormat="1"/>
    <xf borderId="41" fillId="0" fontId="12" numFmtId="0" xfId="0" applyBorder="1" applyFont="1"/>
    <xf borderId="42" fillId="0" fontId="10" numFmtId="164" xfId="0" applyBorder="1" applyFont="1" applyNumberFormat="1"/>
    <xf borderId="43" fillId="0" fontId="12" numFmtId="0" xfId="0" applyBorder="1" applyFont="1"/>
    <xf borderId="44" fillId="0" fontId="12" numFmtId="2" xfId="0" applyAlignment="1" applyBorder="1" applyFont="1" applyNumberFormat="1">
      <alignment horizontal="center"/>
    </xf>
    <xf borderId="45" fillId="4" fontId="12" numFmtId="0" xfId="0" applyAlignment="1" applyBorder="1" applyFont="1">
      <alignment horizontal="center"/>
    </xf>
    <xf borderId="0" fillId="0" fontId="10" numFmtId="0" xfId="0" applyAlignment="1" applyFont="1">
      <alignment horizontal="center"/>
    </xf>
    <xf borderId="0" fillId="0" fontId="10" numFmtId="167" xfId="0" applyFont="1" applyNumberFormat="1"/>
    <xf borderId="46" fillId="5" fontId="12" numFmtId="37" xfId="0" applyBorder="1" applyFont="1" applyNumberFormat="1"/>
    <xf borderId="47" fillId="5" fontId="24" numFmtId="37" xfId="0" applyBorder="1" applyFont="1" applyNumberFormat="1"/>
    <xf borderId="48" fillId="5" fontId="24" numFmtId="37" xfId="0" applyBorder="1" applyFont="1" applyNumberFormat="1"/>
    <xf borderId="49" fillId="5" fontId="12" numFmtId="37" xfId="0" applyBorder="1" applyFont="1" applyNumberFormat="1"/>
    <xf borderId="50" fillId="5" fontId="10" numFmtId="0" xfId="0" applyAlignment="1" applyBorder="1" applyFont="1">
      <alignment horizontal="right"/>
    </xf>
    <xf borderId="50" fillId="5" fontId="10" numFmtId="0" xfId="0" applyBorder="1" applyFont="1"/>
    <xf borderId="51" fillId="0" fontId="25" numFmtId="37" xfId="0" applyBorder="1" applyFont="1" applyNumberFormat="1"/>
    <xf borderId="52" fillId="3" fontId="10" numFmtId="164" xfId="0" applyAlignment="1" applyBorder="1" applyFont="1" applyNumberFormat="1">
      <alignment horizontal="right"/>
    </xf>
    <xf borderId="52" fillId="0" fontId="10" numFmtId="164" xfId="0" applyBorder="1" applyFont="1" applyNumberFormat="1"/>
    <xf borderId="52" fillId="3" fontId="10" numFmtId="164" xfId="0" applyBorder="1" applyFont="1" applyNumberFormat="1"/>
    <xf borderId="53" fillId="0" fontId="25" numFmtId="37" xfId="0" applyBorder="1" applyFont="1" applyNumberFormat="1"/>
    <xf borderId="54" fillId="0" fontId="12" numFmtId="37" xfId="0" applyAlignment="1" applyBorder="1" applyFont="1" applyNumberFormat="1">
      <alignment horizontal="right"/>
    </xf>
    <xf borderId="54" fillId="0" fontId="10" numFmtId="164" xfId="0" applyAlignment="1" applyBorder="1" applyFont="1" applyNumberFormat="1">
      <alignment horizontal="right"/>
    </xf>
    <xf borderId="54" fillId="0" fontId="10" numFmtId="164" xfId="0" applyBorder="1" applyFont="1" applyNumberFormat="1"/>
    <xf borderId="55" fillId="5" fontId="12" numFmtId="37" xfId="0" applyBorder="1" applyFont="1" applyNumberFormat="1"/>
    <xf borderId="52" fillId="5" fontId="10" numFmtId="165" xfId="0" applyAlignment="1" applyBorder="1" applyFont="1" applyNumberFormat="1">
      <alignment horizontal="right"/>
    </xf>
    <xf borderId="52" fillId="5" fontId="10" numFmtId="165" xfId="0" applyBorder="1" applyFont="1" applyNumberFormat="1"/>
    <xf borderId="0" fillId="0" fontId="22" numFmtId="0" xfId="0" applyAlignment="1" applyFont="1">
      <alignment horizontal="left"/>
    </xf>
    <xf borderId="0" fillId="0" fontId="22" numFmtId="0" xfId="0" applyAlignment="1" applyFont="1">
      <alignment horizontal="center"/>
    </xf>
    <xf borderId="56" fillId="3" fontId="10" numFmtId="164" xfId="0" applyAlignment="1" applyBorder="1" applyFont="1" applyNumberFormat="1">
      <alignment horizontal="right"/>
    </xf>
    <xf borderId="56" fillId="3" fontId="10" numFmtId="164" xfId="0" applyBorder="1" applyFont="1" applyNumberFormat="1"/>
    <xf borderId="54" fillId="5" fontId="12" numFmtId="37" xfId="0" applyAlignment="1" applyBorder="1" applyFont="1" applyNumberFormat="1">
      <alignment horizontal="center"/>
    </xf>
    <xf borderId="54" fillId="0" fontId="24" numFmtId="164" xfId="0" applyAlignment="1" applyBorder="1" applyFont="1" applyNumberFormat="1">
      <alignment horizontal="right"/>
    </xf>
    <xf borderId="57" fillId="0" fontId="24" numFmtId="37" xfId="0" applyAlignment="1" applyBorder="1" applyFont="1" applyNumberFormat="1">
      <alignment horizontal="center"/>
    </xf>
    <xf borderId="0" fillId="0" fontId="10" numFmtId="165" xfId="0" applyAlignment="1" applyFont="1" applyNumberFormat="1">
      <alignment horizontal="right"/>
    </xf>
    <xf borderId="0" fillId="0" fontId="10" numFmtId="0" xfId="0" applyAlignment="1" applyFont="1">
      <alignment horizontal="left"/>
    </xf>
    <xf borderId="58" fillId="5" fontId="10" numFmtId="165" xfId="0" applyAlignment="1" applyBorder="1" applyFont="1" applyNumberFormat="1">
      <alignment horizontal="right"/>
    </xf>
    <xf borderId="58" fillId="5" fontId="10" numFmtId="165" xfId="0" applyBorder="1" applyFont="1" applyNumberFormat="1"/>
    <xf borderId="59" fillId="0" fontId="25" numFmtId="37" xfId="0" applyAlignment="1" applyBorder="1" applyFont="1" applyNumberFormat="1">
      <alignment horizontal="left"/>
    </xf>
    <xf borderId="50" fillId="3" fontId="10" numFmtId="164" xfId="0" applyAlignment="1" applyBorder="1" applyFont="1" applyNumberFormat="1">
      <alignment horizontal="right"/>
    </xf>
    <xf borderId="52" fillId="0" fontId="10" numFmtId="164" xfId="0" applyAlignment="1" applyBorder="1" applyFont="1" applyNumberFormat="1">
      <alignment horizontal="right"/>
    </xf>
    <xf borderId="56" fillId="5" fontId="10" numFmtId="165" xfId="0" applyBorder="1" applyFont="1" applyNumberFormat="1"/>
    <xf borderId="0" fillId="0" fontId="10" numFmtId="9" xfId="0" applyFont="1" applyNumberFormat="1"/>
    <xf borderId="59" fillId="0" fontId="13" numFmtId="37" xfId="0" applyAlignment="1" applyBorder="1" applyFont="1" applyNumberFormat="1">
      <alignment horizontal="right"/>
    </xf>
    <xf borderId="60" fillId="0" fontId="10" numFmtId="164" xfId="0" applyAlignment="1" applyBorder="1" applyFont="1" applyNumberFormat="1">
      <alignment horizontal="right"/>
    </xf>
    <xf borderId="46" fillId="5" fontId="12" numFmtId="37" xfId="0" applyAlignment="1" applyBorder="1" applyFont="1" applyNumberFormat="1">
      <alignment shrinkToFit="0" wrapText="1"/>
    </xf>
    <xf borderId="55" fillId="5" fontId="26" numFmtId="37" xfId="0" applyBorder="1" applyFont="1" applyNumberFormat="1"/>
    <xf borderId="0" fillId="0" fontId="10" numFmtId="164" xfId="0" applyAlignment="1" applyFont="1" applyNumberFormat="1">
      <alignment horizontal="center"/>
    </xf>
    <xf borderId="61" fillId="0" fontId="10" numFmtId="164" xfId="0" applyAlignment="1" applyBorder="1" applyFont="1" applyNumberFormat="1">
      <alignment horizontal="right"/>
    </xf>
    <xf borderId="62" fillId="0" fontId="13" numFmtId="37" xfId="0" applyAlignment="1" applyBorder="1" applyFont="1" applyNumberFormat="1">
      <alignment horizontal="right"/>
    </xf>
    <xf borderId="1" fillId="0" fontId="10" numFmtId="165" xfId="0" applyAlignment="1" applyBorder="1" applyFont="1" applyNumberFormat="1">
      <alignment horizontal="right"/>
    </xf>
    <xf borderId="54" fillId="0" fontId="23" numFmtId="164" xfId="0" applyAlignment="1" applyBorder="1" applyFont="1" applyNumberFormat="1">
      <alignment horizontal="right"/>
    </xf>
    <xf borderId="0" fillId="0" fontId="22" numFmtId="164" xfId="0" applyFont="1" applyNumberFormat="1"/>
    <xf borderId="4" fillId="4" fontId="12" numFmtId="37" xfId="0" applyAlignment="1" applyBorder="1" applyFont="1" applyNumberFormat="1">
      <alignment horizontal="center"/>
    </xf>
    <xf borderId="7" fillId="0" fontId="12" numFmtId="0" xfId="0" applyAlignment="1" applyBorder="1" applyFont="1">
      <alignment horizontal="right"/>
    </xf>
    <xf borderId="54" fillId="0" fontId="12" numFmtId="9" xfId="0" applyAlignment="1" applyBorder="1" applyFont="1" applyNumberFormat="1">
      <alignment horizontal="center"/>
    </xf>
    <xf borderId="8" fillId="0" fontId="12" numFmtId="9" xfId="0" applyAlignment="1" applyBorder="1" applyFont="1" applyNumberFormat="1">
      <alignment horizontal="center"/>
    </xf>
    <xf borderId="63" fillId="0" fontId="10" numFmtId="0" xfId="0" applyBorder="1" applyFont="1"/>
    <xf borderId="58" fillId="3" fontId="10" numFmtId="164" xfId="0" applyAlignment="1" applyBorder="1" applyFont="1" applyNumberFormat="1">
      <alignment horizontal="right"/>
    </xf>
    <xf borderId="64" fillId="3" fontId="10" numFmtId="164" xfId="0" applyAlignment="1" applyBorder="1" applyFont="1" applyNumberFormat="1">
      <alignment horizontal="right"/>
    </xf>
    <xf borderId="65" fillId="0" fontId="10" numFmtId="0" xfId="0" applyBorder="1" applyFont="1"/>
    <xf borderId="66" fillId="3" fontId="10" numFmtId="9" xfId="0" applyAlignment="1" applyBorder="1" applyFont="1" applyNumberFormat="1">
      <alignment horizontal="right"/>
    </xf>
    <xf borderId="67" fillId="3" fontId="10" numFmtId="9" xfId="0" applyAlignment="1" applyBorder="1" applyFont="1" applyNumberFormat="1">
      <alignment horizontal="right"/>
    </xf>
    <xf borderId="68" fillId="0" fontId="10" numFmtId="164" xfId="0" applyAlignment="1" applyBorder="1" applyFont="1" applyNumberFormat="1">
      <alignment horizontal="right"/>
    </xf>
    <xf borderId="34" fillId="0" fontId="10" numFmtId="164" xfId="0" applyAlignment="1" applyBorder="1" applyFont="1" applyNumberFormat="1">
      <alignment horizontal="right"/>
    </xf>
    <xf borderId="51" fillId="0" fontId="10" numFmtId="0" xfId="0" applyBorder="1" applyFont="1"/>
    <xf borderId="52" fillId="0" fontId="10" numFmtId="165" xfId="0" applyAlignment="1" applyBorder="1" applyFont="1" applyNumberFormat="1">
      <alignment horizontal="right"/>
    </xf>
    <xf borderId="35" fillId="0" fontId="10" numFmtId="165" xfId="0" applyAlignment="1" applyBorder="1" applyFont="1" applyNumberFormat="1">
      <alignment horizontal="right"/>
    </xf>
    <xf borderId="69" fillId="0" fontId="10" numFmtId="0" xfId="0" applyAlignment="1" applyBorder="1" applyFont="1">
      <alignment horizontal="center" shrinkToFit="0" vertical="top" wrapText="1"/>
    </xf>
    <xf borderId="48" fillId="3" fontId="10" numFmtId="165" xfId="0" applyAlignment="1" applyBorder="1" applyFont="1" applyNumberFormat="1">
      <alignment horizontal="center"/>
    </xf>
    <xf borderId="52" fillId="0" fontId="10" numFmtId="10" xfId="0" applyAlignment="1" applyBorder="1" applyFont="1" applyNumberFormat="1">
      <alignment horizontal="right"/>
    </xf>
    <xf borderId="35" fillId="0" fontId="10" numFmtId="10" xfId="0" applyAlignment="1" applyBorder="1" applyFont="1" applyNumberFormat="1">
      <alignment horizontal="right"/>
    </xf>
    <xf borderId="60" fillId="0" fontId="17" numFmtId="0" xfId="0" applyBorder="1" applyFont="1"/>
    <xf borderId="66" fillId="0" fontId="10" numFmtId="165" xfId="0" applyAlignment="1" applyBorder="1" applyFont="1" applyNumberFormat="1">
      <alignment horizontal="right"/>
    </xf>
    <xf borderId="70" fillId="0" fontId="10" numFmtId="165" xfId="0" applyAlignment="1" applyBorder="1" applyFont="1" applyNumberFormat="1">
      <alignment horizontal="right"/>
    </xf>
    <xf borderId="61" fillId="0" fontId="17" numFmtId="0" xfId="0" applyBorder="1" applyFont="1"/>
    <xf borderId="53" fillId="0" fontId="10" numFmtId="0" xfId="0" applyBorder="1" applyFont="1"/>
    <xf borderId="52" fillId="3" fontId="10" numFmtId="168" xfId="0" applyAlignment="1" applyBorder="1" applyFont="1" applyNumberFormat="1">
      <alignment horizontal="right"/>
    </xf>
    <xf borderId="7" fillId="0" fontId="10" numFmtId="0" xfId="0" applyBorder="1" applyFont="1"/>
    <xf borderId="54" fillId="0" fontId="12" numFmtId="164" xfId="0" applyAlignment="1" applyBorder="1" applyFont="1" applyNumberFormat="1">
      <alignment horizontal="right"/>
    </xf>
    <xf borderId="8" fillId="0" fontId="12" numFmtId="164" xfId="0" applyAlignment="1" applyBorder="1" applyFont="1" applyNumberFormat="1">
      <alignment horizontal="right"/>
    </xf>
    <xf borderId="0" fillId="0" fontId="27" numFmtId="0" xfId="0" applyFont="1"/>
    <xf borderId="4" fillId="4" fontId="12" numFmtId="0" xfId="0" applyAlignment="1" applyBorder="1" applyFont="1">
      <alignment horizontal="center"/>
    </xf>
    <xf borderId="2" fillId="0" fontId="12" numFmtId="0" xfId="0" applyBorder="1" applyFont="1"/>
    <xf borderId="2" fillId="0" fontId="10" numFmtId="0" xfId="0" applyAlignment="1" applyBorder="1" applyFont="1">
      <alignment horizontal="right"/>
    </xf>
    <xf borderId="0" fillId="0" fontId="10" numFmtId="164" xfId="0" applyAlignment="1" applyFont="1" applyNumberFormat="1">
      <alignment horizontal="right"/>
    </xf>
    <xf borderId="2" fillId="0" fontId="10" numFmtId="0" xfId="0" applyBorder="1" applyFont="1"/>
    <xf borderId="2" fillId="0" fontId="10" numFmtId="164" xfId="0" applyAlignment="1" applyBorder="1" applyFont="1" applyNumberFormat="1">
      <alignment horizontal="right"/>
    </xf>
    <xf borderId="71" fillId="3" fontId="10" numFmtId="9" xfId="0" applyAlignment="1" applyBorder="1" applyFont="1" applyNumberFormat="1">
      <alignment horizontal="right"/>
    </xf>
    <xf borderId="72" fillId="3" fontId="10" numFmtId="9" xfId="0" applyAlignment="1" applyBorder="1" applyFont="1" applyNumberFormat="1">
      <alignment horizontal="right"/>
    </xf>
    <xf borderId="0" fillId="0" fontId="28" numFmtId="0" xfId="0" applyFont="1"/>
    <xf borderId="71" fillId="6" fontId="12" numFmtId="0" xfId="0" applyBorder="1" applyFill="1" applyFont="1"/>
    <xf borderId="71" fillId="6" fontId="12" numFmtId="164" xfId="0" applyAlignment="1" applyBorder="1" applyFont="1" applyNumberFormat="1">
      <alignment horizontal="right"/>
    </xf>
    <xf borderId="71" fillId="3" fontId="10" numFmtId="0" xfId="0" applyAlignment="1" applyBorder="1" applyFont="1">
      <alignment horizontal="right"/>
    </xf>
    <xf borderId="71" fillId="3" fontId="10" numFmtId="168" xfId="0" applyAlignment="1" applyBorder="1" applyFont="1" applyNumberFormat="1">
      <alignment horizontal="right"/>
    </xf>
    <xf borderId="71" fillId="7" fontId="12" numFmtId="0" xfId="0" applyBorder="1" applyFill="1" applyFont="1"/>
    <xf borderId="71" fillId="7" fontId="12" numFmtId="164" xfId="0" applyAlignment="1" applyBorder="1" applyFont="1" applyNumberFormat="1">
      <alignment horizontal="right"/>
    </xf>
    <xf borderId="71" fillId="7" fontId="18" numFmtId="0" xfId="0" applyBorder="1" applyFont="1"/>
    <xf borderId="71" fillId="7" fontId="18" numFmtId="164" xfId="0" applyAlignment="1" applyBorder="1" applyFont="1" applyNumberFormat="1">
      <alignment horizontal="right"/>
    </xf>
    <xf borderId="73" fillId="7" fontId="12" numFmtId="0" xfId="0" applyBorder="1" applyFont="1"/>
    <xf borderId="74" fillId="7" fontId="12" numFmtId="164" xfId="0" applyAlignment="1" applyBorder="1" applyFont="1" applyNumberFormat="1">
      <alignment horizontal="right"/>
    </xf>
    <xf borderId="75" fillId="7" fontId="12" numFmtId="0" xfId="0" applyBorder="1" applyFont="1"/>
    <xf borderId="76" fillId="7" fontId="12" numFmtId="164" xfId="0" applyAlignment="1" applyBorder="1" applyFont="1" applyNumberFormat="1">
      <alignment horizontal="right"/>
    </xf>
    <xf borderId="0" fillId="0" fontId="13" numFmtId="0" xfId="0" applyFont="1"/>
    <xf borderId="0" fillId="0" fontId="12" numFmtId="0" xfId="0" applyAlignment="1" applyFont="1">
      <alignment horizontal="center"/>
    </xf>
    <xf borderId="0" fillId="0" fontId="10" numFmtId="0" xfId="0" applyAlignment="1" applyFont="1">
      <alignment horizontal="left" vertical="center"/>
    </xf>
    <xf borderId="77" fillId="0" fontId="10" numFmtId="0" xfId="0" applyAlignment="1" applyBorder="1" applyFont="1">
      <alignment horizontal="left" vertical="center"/>
    </xf>
    <xf borderId="77" fillId="0" fontId="10" numFmtId="164" xfId="0" applyAlignment="1" applyBorder="1" applyFont="1" applyNumberFormat="1">
      <alignment horizontal="center"/>
    </xf>
    <xf borderId="0" fillId="0" fontId="12" numFmtId="0" xfId="0" applyAlignment="1" applyFont="1">
      <alignment horizontal="left" vertical="center"/>
    </xf>
    <xf borderId="0" fillId="0" fontId="12" numFmtId="164" xfId="0" applyAlignment="1" applyFont="1" applyNumberFormat="1">
      <alignment horizontal="center"/>
    </xf>
    <xf borderId="4" fillId="2" fontId="13" numFmtId="0" xfId="0" applyAlignment="1" applyBorder="1" applyFont="1">
      <alignment horizontal="center"/>
    </xf>
    <xf borderId="78" fillId="0" fontId="17" numFmtId="0" xfId="0" applyBorder="1" applyFont="1"/>
    <xf borderId="18" fillId="0" fontId="21" numFmtId="0" xfId="0" applyAlignment="1" applyBorder="1" applyFont="1">
      <alignment horizontal="center" shrinkToFit="0" wrapText="1"/>
    </xf>
    <xf borderId="21" fillId="0" fontId="10" numFmtId="0" xfId="0" applyAlignment="1" applyBorder="1" applyFont="1">
      <alignment horizontal="center" shrinkToFit="0" wrapText="1"/>
    </xf>
    <xf borderId="79" fillId="0" fontId="10" numFmtId="0" xfId="0" applyAlignment="1" applyBorder="1" applyFont="1">
      <alignment horizontal="center" shrinkToFit="0" wrapText="1"/>
    </xf>
    <xf borderId="19" fillId="0" fontId="10" numFmtId="0" xfId="0" applyAlignment="1" applyBorder="1" applyFont="1">
      <alignment horizontal="center" shrinkToFit="0" wrapText="1"/>
    </xf>
    <xf borderId="58" fillId="3" fontId="10" numFmtId="165" xfId="0" applyAlignment="1" applyBorder="1" applyFont="1" applyNumberFormat="1">
      <alignment horizontal="right"/>
    </xf>
    <xf borderId="58" fillId="3" fontId="10" numFmtId="169" xfId="0" applyAlignment="1" applyBorder="1" applyFont="1" applyNumberFormat="1">
      <alignment horizontal="right"/>
    </xf>
    <xf borderId="58" fillId="0" fontId="10" numFmtId="169" xfId="0" applyAlignment="1" applyBorder="1" applyFont="1" applyNumberFormat="1">
      <alignment horizontal="right"/>
    </xf>
    <xf borderId="11" fillId="0" fontId="10" numFmtId="169" xfId="0" applyBorder="1" applyFont="1" applyNumberFormat="1"/>
    <xf borderId="6" fillId="3" fontId="10" numFmtId="0" xfId="0" applyBorder="1" applyFont="1"/>
    <xf borderId="52" fillId="3" fontId="10" numFmtId="165" xfId="0" applyAlignment="1" applyBorder="1" applyFont="1" applyNumberFormat="1">
      <alignment horizontal="right"/>
    </xf>
    <xf borderId="52" fillId="3" fontId="10" numFmtId="169" xfId="0" applyAlignment="1" applyBorder="1" applyFont="1" applyNumberFormat="1">
      <alignment horizontal="right"/>
    </xf>
    <xf borderId="52" fillId="0" fontId="10" numFmtId="169" xfId="0" applyAlignment="1" applyBorder="1" applyFont="1" applyNumberFormat="1">
      <alignment horizontal="right"/>
    </xf>
    <xf borderId="56" fillId="3" fontId="10" numFmtId="165" xfId="0" applyAlignment="1" applyBorder="1" applyFont="1" applyNumberFormat="1">
      <alignment horizontal="right"/>
    </xf>
    <xf borderId="56" fillId="3" fontId="10" numFmtId="169" xfId="0" applyAlignment="1" applyBorder="1" applyFont="1" applyNumberFormat="1">
      <alignment horizontal="right"/>
    </xf>
    <xf borderId="80" fillId="0" fontId="10" numFmtId="169" xfId="0" applyAlignment="1" applyBorder="1" applyFont="1" applyNumberFormat="1">
      <alignment horizontal="right"/>
    </xf>
    <xf borderId="11" fillId="0" fontId="10" numFmtId="165" xfId="0" applyBorder="1" applyFont="1" applyNumberFormat="1"/>
    <xf borderId="80" fillId="0" fontId="10" numFmtId="165" xfId="0" applyAlignment="1" applyBorder="1" applyFont="1" applyNumberFormat="1">
      <alignment horizontal="right"/>
    </xf>
    <xf borderId="18" fillId="0" fontId="10" numFmtId="0" xfId="0" applyAlignment="1" applyBorder="1" applyFont="1">
      <alignment horizontal="right"/>
    </xf>
    <xf borderId="62" fillId="0" fontId="12" numFmtId="165" xfId="0" applyBorder="1" applyFont="1" applyNumberFormat="1"/>
    <xf borderId="62" fillId="0" fontId="10" numFmtId="165" xfId="0" applyBorder="1" applyFont="1" applyNumberFormat="1"/>
    <xf borderId="18" fillId="0" fontId="12" numFmtId="0" xfId="0" applyAlignment="1" applyBorder="1" applyFont="1">
      <alignment horizontal="right"/>
    </xf>
    <xf borderId="19" fillId="0" fontId="12" numFmtId="169" xfId="0" applyBorder="1" applyFont="1" applyNumberFormat="1"/>
    <xf borderId="59" fillId="0" fontId="10" numFmtId="0" xfId="0" applyBorder="1" applyFont="1"/>
    <xf borderId="59" fillId="0" fontId="13" numFmtId="0" xfId="0" applyBorder="1" applyFont="1"/>
    <xf borderId="58" fillId="0" fontId="10" numFmtId="164" xfId="0" applyAlignment="1" applyBorder="1" applyFont="1" applyNumberFormat="1">
      <alignment horizontal="right"/>
    </xf>
    <xf borderId="52" fillId="3" fontId="10" numFmtId="0" xfId="0" applyBorder="1" applyFont="1"/>
    <xf borderId="50" fillId="3" fontId="10" numFmtId="0" xfId="0" applyBorder="1" applyFont="1"/>
    <xf borderId="81" fillId="3" fontId="10" numFmtId="0" xfId="0" applyBorder="1" applyFont="1"/>
    <xf borderId="82" fillId="3" fontId="10" numFmtId="165" xfId="0" applyAlignment="1" applyBorder="1" applyFont="1" applyNumberFormat="1">
      <alignment horizontal="right"/>
    </xf>
    <xf borderId="82" fillId="3" fontId="10" numFmtId="164" xfId="0" applyAlignment="1" applyBorder="1" applyFont="1" applyNumberFormat="1">
      <alignment horizontal="right"/>
    </xf>
    <xf borderId="82" fillId="0" fontId="10" numFmtId="164" xfId="0" applyAlignment="1" applyBorder="1" applyFont="1" applyNumberFormat="1">
      <alignment horizontal="right"/>
    </xf>
    <xf borderId="83" fillId="0" fontId="21" numFmtId="0" xfId="0" applyAlignment="1" applyBorder="1" applyFont="1">
      <alignment horizontal="center" shrinkToFit="0" wrapText="1"/>
    </xf>
    <xf borderId="10" fillId="3" fontId="10" numFmtId="166" xfId="0" applyBorder="1" applyFont="1" applyNumberFormat="1"/>
    <xf borderId="58" fillId="3" fontId="10" numFmtId="164" xfId="0" applyBorder="1" applyFont="1" applyNumberFormat="1"/>
    <xf borderId="84" fillId="3" fontId="10" numFmtId="164" xfId="0" applyBorder="1" applyFont="1" applyNumberFormat="1"/>
    <xf borderId="10" fillId="3" fontId="10" numFmtId="164" xfId="0" applyBorder="1" applyFont="1" applyNumberFormat="1"/>
    <xf borderId="85" fillId="3" fontId="10" numFmtId="164" xfId="0" applyBorder="1" applyFont="1" applyNumberFormat="1"/>
    <xf borderId="6" fillId="3" fontId="10" numFmtId="166" xfId="0" applyBorder="1" applyFont="1" applyNumberFormat="1"/>
    <xf borderId="86" fillId="3" fontId="10" numFmtId="164" xfId="0" applyBorder="1" applyFont="1" applyNumberFormat="1"/>
    <xf borderId="6" fillId="3" fontId="10" numFmtId="164" xfId="0" applyBorder="1" applyFont="1" applyNumberFormat="1"/>
    <xf borderId="55" fillId="3" fontId="10" numFmtId="164" xfId="0" applyBorder="1" applyFont="1" applyNumberFormat="1"/>
    <xf borderId="87" fillId="0" fontId="10" numFmtId="0" xfId="0" applyBorder="1" applyFont="1"/>
    <xf borderId="88" fillId="3" fontId="10" numFmtId="0" xfId="0" applyBorder="1" applyFont="1"/>
    <xf borderId="89" fillId="3" fontId="10" numFmtId="0" xfId="0" applyBorder="1" applyFont="1"/>
    <xf borderId="82" fillId="3" fontId="10" numFmtId="166" xfId="0" applyBorder="1" applyFont="1" applyNumberFormat="1"/>
    <xf borderId="82" fillId="3" fontId="10" numFmtId="164" xfId="0" applyBorder="1" applyFont="1" applyNumberFormat="1"/>
    <xf borderId="82" fillId="0" fontId="10" numFmtId="164" xfId="0" applyBorder="1" applyFont="1" applyNumberFormat="1"/>
    <xf borderId="90" fillId="3" fontId="10" numFmtId="164" xfId="0" applyBorder="1" applyFont="1" applyNumberFormat="1"/>
    <xf borderId="91" fillId="0" fontId="10" numFmtId="164" xfId="0" applyBorder="1" applyFont="1" applyNumberFormat="1"/>
    <xf borderId="92" fillId="0" fontId="12" numFmtId="0" xfId="0" applyAlignment="1" applyBorder="1" applyFont="1">
      <alignment horizontal="right"/>
    </xf>
    <xf borderId="14" fillId="0" fontId="10" numFmtId="0" xfId="0" applyBorder="1" applyFont="1"/>
    <xf borderId="29" fillId="0" fontId="10" numFmtId="0" xfId="0" applyBorder="1" applyFont="1"/>
    <xf borderId="93" fillId="0" fontId="10" numFmtId="0" xfId="0" applyBorder="1" applyFont="1"/>
    <xf borderId="94" fillId="3" fontId="10" numFmtId="9" xfId="0" applyBorder="1" applyFont="1" applyNumberFormat="1"/>
    <xf borderId="95" fillId="0" fontId="10" numFmtId="164" xfId="0" applyBorder="1" applyFont="1" applyNumberFormat="1"/>
    <xf borderId="33" fillId="0" fontId="12" numFmtId="164" xfId="0" applyBorder="1" applyFont="1" applyNumberFormat="1"/>
    <xf borderId="6" fillId="0" fontId="10" numFmtId="0" xfId="0" applyBorder="1" applyFont="1"/>
    <xf borderId="29" fillId="0" fontId="12" numFmtId="164" xfId="0" applyBorder="1" applyFont="1" applyNumberFormat="1"/>
    <xf borderId="62" fillId="0" fontId="13" numFmtId="0" xfId="0" applyAlignment="1" applyBorder="1" applyFont="1">
      <alignment horizontal="right"/>
    </xf>
    <xf borderId="8" fillId="0" fontId="12" numFmtId="164" xfId="0" applyBorder="1" applyFont="1" applyNumberFormat="1"/>
    <xf borderId="1" fillId="0" fontId="19" numFmtId="0" xfId="0" applyBorder="1" applyFont="1"/>
    <xf borderId="0" fillId="0" fontId="29" numFmtId="0" xfId="0" applyFont="1"/>
    <xf borderId="46" fillId="5" fontId="12" numFmtId="0" xfId="0" applyBorder="1" applyFont="1"/>
    <xf borderId="48" fillId="5" fontId="12" numFmtId="0" xfId="0" applyAlignment="1" applyBorder="1" applyFont="1">
      <alignment horizontal="center"/>
    </xf>
    <xf borderId="50" fillId="3" fontId="10" numFmtId="169" xfId="0" applyAlignment="1" applyBorder="1" applyFont="1" applyNumberFormat="1">
      <alignment horizontal="right"/>
    </xf>
    <xf borderId="68" fillId="0" fontId="10" numFmtId="169" xfId="0" applyAlignment="1" applyBorder="1" applyFont="1" applyNumberFormat="1">
      <alignment horizontal="right"/>
    </xf>
    <xf borderId="68" fillId="0" fontId="10" numFmtId="10" xfId="0" applyAlignment="1" applyBorder="1" applyFont="1" applyNumberFormat="1">
      <alignment horizontal="center"/>
    </xf>
    <xf borderId="59" fillId="0" fontId="12" numFmtId="0" xfId="0" applyAlignment="1" applyBorder="1" applyFont="1">
      <alignment horizontal="right"/>
    </xf>
    <xf borderId="54" fillId="0" fontId="10" numFmtId="169" xfId="0" applyBorder="1" applyFont="1" applyNumberFormat="1"/>
    <xf borderId="54" fillId="0" fontId="10" numFmtId="10" xfId="0" applyAlignment="1" applyBorder="1" applyFont="1" applyNumberFormat="1">
      <alignment horizontal="center"/>
    </xf>
    <xf borderId="59" fillId="0" fontId="12" numFmtId="0" xfId="0" applyBorder="1" applyFont="1"/>
    <xf borderId="87" fillId="0" fontId="23" numFmtId="169" xfId="0" applyAlignment="1" applyBorder="1" applyFont="1" applyNumberFormat="1">
      <alignment horizontal="center"/>
    </xf>
    <xf borderId="87" fillId="0" fontId="23" numFmtId="10" xfId="0" applyAlignment="1" applyBorder="1" applyFont="1" applyNumberFormat="1">
      <alignment horizontal="center"/>
    </xf>
    <xf borderId="48" fillId="5" fontId="23" numFmtId="169" xfId="0" applyAlignment="1" applyBorder="1" applyFont="1" applyNumberFormat="1">
      <alignment horizontal="center"/>
    </xf>
    <xf borderId="48" fillId="5" fontId="23" numFmtId="10" xfId="0" applyAlignment="1" applyBorder="1" applyFont="1" applyNumberFormat="1">
      <alignment horizontal="center"/>
    </xf>
    <xf borderId="53" fillId="0" fontId="12" numFmtId="0" xfId="0" applyAlignment="1" applyBorder="1" applyFont="1">
      <alignment horizontal="right"/>
    </xf>
    <xf borderId="59" fillId="0" fontId="10" numFmtId="0" xfId="0" applyAlignment="1" applyBorder="1" applyFont="1">
      <alignment horizontal="left"/>
    </xf>
    <xf borderId="96" fillId="0" fontId="10" numFmtId="0" xfId="0" applyBorder="1" applyFont="1"/>
    <xf borderId="97" fillId="0" fontId="23" numFmtId="169" xfId="0" applyAlignment="1" applyBorder="1" applyFont="1" applyNumberFormat="1">
      <alignment horizontal="center"/>
    </xf>
    <xf borderId="97" fillId="0" fontId="10" numFmtId="169" xfId="0" applyAlignment="1" applyBorder="1" applyFont="1" applyNumberFormat="1">
      <alignment horizontal="center"/>
    </xf>
    <xf borderId="97" fillId="0" fontId="10" numFmtId="10" xfId="0" applyAlignment="1" applyBorder="1" applyFont="1" applyNumberFormat="1">
      <alignment horizontal="center"/>
    </xf>
    <xf borderId="98" fillId="0" fontId="21" numFmtId="0" xfId="0" applyAlignment="1" applyBorder="1" applyFont="1">
      <alignment horizontal="right"/>
    </xf>
    <xf borderId="39" fillId="0" fontId="19" numFmtId="169" xfId="0" applyBorder="1" applyFont="1" applyNumberFormat="1"/>
    <xf borderId="39" fillId="0" fontId="21" numFmtId="169" xfId="0" applyBorder="1" applyFont="1" applyNumberFormat="1"/>
    <xf borderId="39" fillId="0" fontId="21" numFmtId="10" xfId="0" applyAlignment="1" applyBorder="1" applyFont="1" applyNumberFormat="1">
      <alignment horizontal="center"/>
    </xf>
    <xf borderId="87" fillId="0" fontId="10" numFmtId="169" xfId="0" applyAlignment="1" applyBorder="1" applyFont="1" applyNumberFormat="1">
      <alignment horizontal="center"/>
    </xf>
    <xf borderId="87" fillId="0" fontId="10" numFmtId="10" xfId="0" applyAlignment="1" applyBorder="1" applyFont="1" applyNumberFormat="1">
      <alignment horizontal="center"/>
    </xf>
    <xf borderId="63" fillId="0" fontId="12" numFmtId="0" xfId="0" applyBorder="1" applyFont="1"/>
    <xf borderId="54" fillId="3" fontId="10" numFmtId="169" xfId="0" applyAlignment="1" applyBorder="1" applyFont="1" applyNumberFormat="1">
      <alignment horizontal="right"/>
    </xf>
    <xf borderId="54" fillId="0" fontId="10" numFmtId="169" xfId="0" applyAlignment="1" applyBorder="1" applyFont="1" applyNumberFormat="1">
      <alignment horizontal="right"/>
    </xf>
    <xf borderId="59" fillId="0" fontId="29" numFmtId="0" xfId="0" applyBorder="1" applyFont="1"/>
    <xf borderId="87" fillId="0" fontId="29" numFmtId="169" xfId="0" applyBorder="1" applyFont="1" applyNumberFormat="1"/>
    <xf borderId="87" fillId="0" fontId="20" numFmtId="169" xfId="0" applyBorder="1" applyFont="1" applyNumberFormat="1"/>
    <xf borderId="87" fillId="0" fontId="20" numFmtId="10" xfId="0" applyAlignment="1" applyBorder="1" applyFont="1" applyNumberFormat="1">
      <alignment horizontal="center"/>
    </xf>
    <xf borderId="99" fillId="0" fontId="30" numFmtId="0" xfId="0" applyAlignment="1" applyBorder="1" applyFont="1">
      <alignment horizontal="right" shrinkToFit="0" wrapText="1"/>
    </xf>
    <xf borderId="100" fillId="0" fontId="19" numFmtId="169" xfId="0" applyBorder="1" applyFont="1" applyNumberFormat="1"/>
    <xf borderId="100" fillId="0" fontId="21" numFmtId="169" xfId="0" applyBorder="1" applyFont="1" applyNumberFormat="1"/>
    <xf borderId="100" fillId="0" fontId="21" numFmtId="10" xfId="0" applyAlignment="1" applyBorder="1" applyFont="1" applyNumberFormat="1">
      <alignment horizontal="center"/>
    </xf>
    <xf borderId="0" fillId="0" fontId="31" numFmtId="0" xfId="0" applyFont="1"/>
    <xf borderId="101" fillId="2" fontId="13" numFmtId="0" xfId="0" applyAlignment="1" applyBorder="1" applyFont="1">
      <alignment horizontal="center"/>
    </xf>
    <xf borderId="3" fillId="0" fontId="17" numFmtId="0" xfId="0" applyBorder="1" applyFont="1"/>
    <xf borderId="14" fillId="0" fontId="17" numFmtId="0" xfId="0" applyBorder="1" applyFont="1"/>
    <xf borderId="86" fillId="8" fontId="10" numFmtId="10" xfId="0" applyBorder="1" applyFill="1" applyFont="1" applyNumberFormat="1"/>
    <xf borderId="0" fillId="0" fontId="32" numFmtId="0" xfId="0" applyFont="1"/>
    <xf borderId="86" fillId="3" fontId="10" numFmtId="10" xfId="0" applyBorder="1" applyFont="1" applyNumberFormat="1"/>
    <xf borderId="62" fillId="0" fontId="10" numFmtId="0" xfId="0" applyBorder="1" applyFont="1"/>
    <xf borderId="62" fillId="0" fontId="12" numFmtId="0" xfId="0" applyAlignment="1" applyBorder="1" applyFont="1">
      <alignment horizontal="center"/>
    </xf>
    <xf borderId="8" fillId="0" fontId="12" numFmtId="0" xfId="0" applyAlignment="1" applyBorder="1" applyFont="1">
      <alignment horizontal="center"/>
    </xf>
    <xf borderId="7" fillId="0" fontId="12" numFmtId="0" xfId="0" applyAlignment="1" applyBorder="1" applyFont="1">
      <alignment horizontal="center"/>
    </xf>
    <xf borderId="69" fillId="0" fontId="33" numFmtId="0" xfId="0" applyAlignment="1" applyBorder="1" applyFont="1">
      <alignment horizontal="center" textRotation="90" vertical="center"/>
    </xf>
    <xf borderId="92" fillId="0" fontId="10" numFmtId="0" xfId="0" applyBorder="1" applyFont="1"/>
    <xf borderId="57" fillId="0" fontId="10" numFmtId="0" xfId="0" applyBorder="1" applyFont="1"/>
    <xf borderId="57" fillId="0" fontId="10" numFmtId="169" xfId="0" applyBorder="1" applyFont="1" applyNumberFormat="1"/>
    <xf borderId="102" fillId="0" fontId="10" numFmtId="169" xfId="0" applyBorder="1" applyFont="1" applyNumberFormat="1"/>
    <xf borderId="0" fillId="0" fontId="10" numFmtId="169" xfId="0" applyFont="1" applyNumberFormat="1"/>
    <xf borderId="92" fillId="0" fontId="10" numFmtId="169" xfId="0" applyBorder="1" applyFont="1" applyNumberFormat="1"/>
    <xf borderId="59" fillId="0" fontId="10" numFmtId="169" xfId="0" applyBorder="1" applyFont="1" applyNumberFormat="1"/>
    <xf borderId="87" fillId="0" fontId="10" numFmtId="169" xfId="0" applyBorder="1" applyFont="1" applyNumberFormat="1"/>
    <xf borderId="103" fillId="0" fontId="10" numFmtId="0" xfId="0" applyBorder="1" applyFont="1"/>
    <xf borderId="103" fillId="0" fontId="10" numFmtId="169" xfId="0" applyBorder="1" applyFont="1" applyNumberFormat="1"/>
    <xf borderId="104" fillId="0" fontId="10" numFmtId="169" xfId="0" applyBorder="1" applyFont="1" applyNumberFormat="1"/>
    <xf borderId="53" fillId="0" fontId="10" numFmtId="169" xfId="0" applyBorder="1" applyFont="1" applyNumberFormat="1"/>
    <xf borderId="0" fillId="0" fontId="10" numFmtId="169" xfId="0" applyAlignment="1" applyFont="1" applyNumberFormat="1">
      <alignment horizontal="right"/>
    </xf>
    <xf borderId="87" fillId="0" fontId="10" numFmtId="169" xfId="0" applyAlignment="1" applyBorder="1" applyFont="1" applyNumberFormat="1">
      <alignment horizontal="right"/>
    </xf>
    <xf borderId="59" fillId="0" fontId="10" numFmtId="169" xfId="0" applyAlignment="1" applyBorder="1" applyFont="1" applyNumberFormat="1">
      <alignment horizontal="right"/>
    </xf>
    <xf borderId="77" fillId="0" fontId="10" numFmtId="0" xfId="0" applyBorder="1" applyFont="1"/>
    <xf borderId="77" fillId="0" fontId="10" numFmtId="169" xfId="0" applyBorder="1" applyFont="1" applyNumberFormat="1"/>
    <xf borderId="97" fillId="0" fontId="10" numFmtId="169" xfId="0" applyBorder="1" applyFont="1" applyNumberFormat="1"/>
    <xf borderId="96" fillId="0" fontId="10" numFmtId="169" xfId="0" applyBorder="1" applyFont="1" applyNumberFormat="1"/>
    <xf borderId="105" fillId="0" fontId="12" numFmtId="0" xfId="0" applyBorder="1" applyFont="1"/>
    <xf borderId="1" fillId="0" fontId="12" numFmtId="169" xfId="0" applyBorder="1" applyFont="1" applyNumberFormat="1"/>
    <xf borderId="39" fillId="0" fontId="12" numFmtId="169" xfId="0" applyBorder="1" applyFont="1" applyNumberFormat="1"/>
    <xf borderId="0" fillId="0" fontId="12" numFmtId="169" xfId="0" applyFont="1" applyNumberFormat="1"/>
    <xf borderId="105" fillId="0" fontId="12" numFmtId="169" xfId="0" applyBorder="1" applyFont="1" applyNumberFormat="1"/>
    <xf borderId="92" fillId="0" fontId="33" numFmtId="0" xfId="0" applyAlignment="1" applyBorder="1" applyFont="1">
      <alignment horizontal="center" textRotation="90" vertical="center"/>
    </xf>
    <xf borderId="57" fillId="0" fontId="12" numFmtId="169" xfId="0" applyBorder="1" applyFont="1" applyNumberFormat="1"/>
    <xf borderId="102" fillId="0" fontId="12" numFmtId="169" xfId="0" applyBorder="1" applyFont="1" applyNumberFormat="1"/>
    <xf borderId="92" fillId="0" fontId="12" numFmtId="169" xfId="0" applyBorder="1" applyFont="1" applyNumberFormat="1"/>
    <xf borderId="59" fillId="0" fontId="17" numFmtId="0" xfId="0" applyBorder="1" applyFont="1"/>
    <xf borderId="0" fillId="0" fontId="10" numFmtId="2" xfId="0" applyFont="1" applyNumberFormat="1"/>
    <xf borderId="87" fillId="0" fontId="10" numFmtId="2" xfId="0" applyBorder="1" applyFont="1" applyNumberFormat="1"/>
    <xf borderId="59" fillId="0" fontId="10" numFmtId="2" xfId="0" applyBorder="1" applyFont="1" applyNumberFormat="1"/>
    <xf borderId="105" fillId="0" fontId="17" numFmtId="0" xfId="0" applyBorder="1" applyFont="1"/>
    <xf borderId="92" fillId="0" fontId="33" numFmtId="0" xfId="0" applyAlignment="1" applyBorder="1" applyFont="1">
      <alignment horizontal="center" shrinkToFit="0" textRotation="90" vertical="center" wrapText="1"/>
    </xf>
    <xf borderId="96" fillId="0" fontId="18" numFmtId="0" xfId="0" applyBorder="1" applyFont="1"/>
    <xf borderId="77" fillId="0" fontId="18" numFmtId="0" xfId="0" applyBorder="1" applyFont="1"/>
    <xf borderId="77" fillId="0" fontId="18" numFmtId="169" xfId="0" applyBorder="1" applyFont="1" applyNumberFormat="1"/>
    <xf borderId="97" fillId="0" fontId="18" numFmtId="169" xfId="0" applyBorder="1" applyFont="1" applyNumberFormat="1"/>
    <xf borderId="87" fillId="0" fontId="12" numFmtId="169" xfId="0" applyBorder="1" applyFont="1" applyNumberFormat="1"/>
    <xf borderId="59" fillId="0" fontId="18" numFmtId="0" xfId="0" applyAlignment="1" applyBorder="1" applyFont="1">
      <alignment horizontal="left"/>
    </xf>
    <xf borderId="71" fillId="9" fontId="18" numFmtId="9" xfId="0" applyAlignment="1" applyBorder="1" applyFill="1" applyFont="1" applyNumberFormat="1">
      <alignment horizontal="right"/>
    </xf>
    <xf borderId="0" fillId="0" fontId="18" numFmtId="169" xfId="0" applyFont="1" applyNumberFormat="1"/>
    <xf borderId="87" fillId="0" fontId="18" numFmtId="169" xfId="0" applyBorder="1" applyFont="1" applyNumberFormat="1"/>
    <xf borderId="105" fillId="0" fontId="18" numFmtId="0" xfId="0" applyAlignment="1" applyBorder="1" applyFont="1">
      <alignment horizontal="left"/>
    </xf>
    <xf borderId="106" fillId="9" fontId="18" numFmtId="9" xfId="0" applyAlignment="1" applyBorder="1" applyFont="1" applyNumberFormat="1">
      <alignment horizontal="right"/>
    </xf>
    <xf borderId="1" fillId="0" fontId="18" numFmtId="169" xfId="0" applyBorder="1" applyFont="1" applyNumberFormat="1"/>
    <xf borderId="1" fillId="0" fontId="18" numFmtId="0" xfId="0" applyBorder="1" applyFont="1"/>
    <xf borderId="39" fillId="0" fontId="18" numFmtId="169" xfId="0" applyBorder="1" applyFont="1" applyNumberFormat="1"/>
    <xf borderId="0" fillId="0" fontId="15" numFmtId="0" xfId="0" applyAlignment="1" applyFont="1">
      <alignment shrinkToFit="0" wrapText="1"/>
    </xf>
    <xf borderId="71" fillId="4" fontId="26" numFmtId="0" xfId="0" applyBorder="1" applyFont="1"/>
    <xf borderId="71" fillId="4" fontId="15" numFmtId="0" xfId="0" applyBorder="1" applyFont="1"/>
    <xf borderId="71" fillId="2" fontId="26" numFmtId="0" xfId="0" applyBorder="1" applyFont="1"/>
    <xf borderId="71" fillId="2" fontId="15" numFmtId="0" xfId="0" applyBorder="1" applyFont="1"/>
    <xf borderId="2" fillId="0" fontId="15" numFmtId="0" xfId="0" applyBorder="1" applyFont="1"/>
    <xf borderId="0" fillId="0" fontId="15" numFmtId="170" xfId="0" applyFont="1" applyNumberFormat="1"/>
    <xf borderId="0" fillId="0" fontId="34" numFmtId="164" xfId="0" applyFont="1" applyNumberFormat="1"/>
    <xf borderId="72" fillId="3" fontId="15" numFmtId="9" xfId="0" applyBorder="1" applyFont="1" applyNumberFormat="1"/>
    <xf borderId="0" fillId="0" fontId="26" numFmtId="0" xfId="0" applyFont="1"/>
    <xf borderId="0" fillId="0" fontId="26" numFmtId="171" xfId="0" applyFont="1" applyNumberFormat="1"/>
    <xf borderId="71" fillId="3" fontId="15" numFmtId="0" xfId="0" applyBorder="1" applyFont="1"/>
    <xf borderId="71" fillId="3" fontId="15" numFmtId="9" xfId="0" applyBorder="1" applyFont="1" applyNumberFormat="1"/>
    <xf borderId="71" fillId="3" fontId="15" numFmtId="10" xfId="0" applyBorder="1" applyFont="1" applyNumberFormat="1"/>
    <xf borderId="0" fillId="0" fontId="15" numFmtId="171" xfId="0" applyFont="1" applyNumberFormat="1"/>
    <xf borderId="2" fillId="0" fontId="15" numFmtId="171" xfId="0" applyBorder="1" applyFont="1" applyNumberFormat="1"/>
    <xf borderId="71" fillId="9" fontId="15" numFmtId="171" xfId="0" applyBorder="1" applyFont="1" applyNumberFormat="1"/>
    <xf borderId="71" fillId="3" fontId="15" numFmtId="2" xfId="0" applyBorder="1" applyFont="1" applyNumberFormat="1"/>
    <xf borderId="0" fillId="0" fontId="15" numFmtId="9" xfId="0" applyFont="1" applyNumberFormat="1"/>
    <xf borderId="0" fillId="0" fontId="28" numFmtId="171" xfId="0" applyFont="1" applyNumberFormat="1"/>
    <xf borderId="71" fillId="9" fontId="26" numFmtId="167" xfId="0" applyBorder="1" applyFont="1" applyNumberFormat="1"/>
    <xf borderId="0" fillId="0" fontId="28" numFmtId="167" xfId="0" applyFont="1" applyNumberFormat="1"/>
    <xf borderId="71" fillId="3" fontId="28" numFmtId="2" xfId="0" applyBorder="1" applyFont="1" applyNumberFormat="1"/>
    <xf borderId="71" fillId="9" fontId="15" numFmtId="10" xfId="0" applyBorder="1" applyFont="1" applyNumberFormat="1"/>
    <xf borderId="0" fillId="0" fontId="15" numFmtId="168" xfId="0" applyFont="1" applyNumberFormat="1"/>
    <xf borderId="0" fillId="0" fontId="26" numFmtId="0" xfId="0" applyAlignment="1" applyFont="1">
      <alignment horizontal="right"/>
    </xf>
    <xf borderId="71" fillId="10" fontId="15" numFmtId="0" xfId="0" applyBorder="1" applyFill="1" applyFont="1"/>
    <xf borderId="71" fillId="10" fontId="26" numFmtId="0" xfId="0" applyBorder="1" applyFont="1"/>
    <xf borderId="0" fillId="0" fontId="15" numFmtId="0" xfId="0" applyAlignment="1" applyFont="1">
      <alignment horizontal="left"/>
    </xf>
    <xf borderId="2" fillId="0" fontId="15" numFmtId="0" xfId="0" applyAlignment="1" applyBorder="1" applyFont="1">
      <alignment horizontal="left"/>
    </xf>
    <xf borderId="2" fillId="0" fontId="15" numFmtId="0" xfId="0" applyAlignment="1" applyBorder="1" applyFont="1">
      <alignment horizontal="right"/>
    </xf>
    <xf borderId="71" fillId="3" fontId="15" numFmtId="171" xfId="0" applyBorder="1" applyFont="1" applyNumberFormat="1"/>
    <xf borderId="71" fillId="10" fontId="26" numFmtId="0" xfId="0" applyAlignment="1" applyBorder="1" applyFont="1">
      <alignment horizontal="left"/>
    </xf>
    <xf borderId="71" fillId="10" fontId="15" numFmtId="171" xfId="0" applyBorder="1" applyFont="1" applyNumberFormat="1"/>
    <xf borderId="71" fillId="3" fontId="15" numFmtId="172" xfId="0" applyBorder="1" applyFont="1" applyNumberFormat="1"/>
    <xf borderId="0" fillId="0" fontId="15" numFmtId="167" xfId="0" applyFont="1" applyNumberFormat="1"/>
    <xf borderId="71" fillId="3" fontId="15" numFmtId="173" xfId="0" applyBorder="1" applyFont="1" applyNumberFormat="1"/>
    <xf borderId="71" fillId="3" fontId="15" numFmtId="3" xfId="0" applyBorder="1" applyFont="1" applyNumberFormat="1"/>
    <xf borderId="71" fillId="9" fontId="15" numFmtId="9" xfId="0" applyBorder="1" applyFont="1" applyNumberFormat="1"/>
    <xf borderId="71" fillId="9" fontId="15" numFmtId="0" xfId="0" applyBorder="1" applyFont="1"/>
    <xf borderId="2" fillId="0" fontId="15" numFmtId="9" xfId="0" applyBorder="1" applyFont="1" applyNumberFormat="1"/>
    <xf borderId="0" fillId="0" fontId="15" numFmtId="10" xfId="0" applyFont="1" applyNumberFormat="1"/>
    <xf borderId="0" fillId="0" fontId="15" numFmtId="164" xfId="0" applyFont="1" applyNumberFormat="1"/>
    <xf borderId="107" fillId="0" fontId="10" numFmtId="164" xfId="0" applyBorder="1" applyFont="1" applyNumberFormat="1"/>
    <xf borderId="108" fillId="3" fontId="10" numFmtId="0" xfId="0" applyBorder="1" applyFont="1"/>
    <xf borderId="109" fillId="3" fontId="10" numFmtId="164" xfId="0" applyAlignment="1" applyBorder="1" applyFont="1" applyNumberFormat="1">
      <alignment horizontal="right"/>
    </xf>
    <xf borderId="18" fillId="3" fontId="10" numFmtId="0" xfId="0" applyBorder="1" applyFont="1"/>
    <xf borderId="38" fillId="3" fontId="10" numFmtId="0" xfId="0" applyBorder="1" applyFont="1"/>
    <xf borderId="38" fillId="3" fontId="10" numFmtId="164" xfId="0" applyAlignment="1" applyBorder="1" applyFont="1" applyNumberFormat="1">
      <alignment horizontal="right"/>
    </xf>
    <xf borderId="38" fillId="3" fontId="10" numFmtId="10" xfId="0" applyBorder="1" applyFont="1" applyNumberFormat="1"/>
    <xf borderId="102" fillId="0" fontId="12" numFmtId="9" xfId="0" applyAlignment="1" applyBorder="1" applyFont="1" applyNumberFormat="1">
      <alignment horizontal="center"/>
    </xf>
    <xf borderId="110" fillId="7" fontId="12" numFmtId="0" xfId="0" applyAlignment="1" applyBorder="1" applyFont="1">
      <alignment horizontal="left"/>
    </xf>
    <xf borderId="111" fillId="7" fontId="12" numFmtId="9" xfId="0" applyAlignment="1" applyBorder="1" applyFont="1" applyNumberFormat="1">
      <alignment horizontal="center"/>
    </xf>
    <xf borderId="111" fillId="3" fontId="10" numFmtId="169" xfId="0" applyAlignment="1" applyBorder="1" applyFont="1" applyNumberFormat="1">
      <alignment horizontal="right"/>
    </xf>
    <xf borderId="111" fillId="3" fontId="10" numFmtId="10" xfId="0" applyAlignment="1" applyBorder="1" applyFont="1" applyNumberFormat="1">
      <alignment horizontal="right"/>
    </xf>
    <xf borderId="111" fillId="9" fontId="10" numFmtId="9" xfId="0" applyAlignment="1" applyBorder="1" applyFont="1" applyNumberFormat="1">
      <alignment horizontal="right"/>
    </xf>
    <xf borderId="34" fillId="0" fontId="10" numFmtId="169" xfId="0" applyAlignment="1" applyBorder="1" applyFont="1" applyNumberFormat="1">
      <alignment horizontal="right"/>
    </xf>
    <xf borderId="110" fillId="7" fontId="12" numFmtId="0" xfId="0" applyBorder="1" applyFont="1"/>
    <xf borderId="111" fillId="7" fontId="12" numFmtId="169" xfId="0" applyAlignment="1" applyBorder="1" applyFont="1" applyNumberFormat="1">
      <alignment horizontal="right"/>
    </xf>
    <xf borderId="111" fillId="7" fontId="10" numFmtId="169" xfId="0" applyAlignment="1" applyBorder="1" applyFont="1" applyNumberFormat="1">
      <alignment horizontal="right"/>
    </xf>
    <xf borderId="0" fillId="0" fontId="10" numFmtId="0" xfId="0" applyAlignment="1" applyFont="1">
      <alignment horizontal="center" shrinkToFit="0" vertical="top" wrapText="1"/>
    </xf>
    <xf borderId="111" fillId="9" fontId="10" numFmtId="169" xfId="0" applyAlignment="1" applyBorder="1" applyFont="1" applyNumberFormat="1">
      <alignment horizontal="right"/>
    </xf>
    <xf borderId="112" fillId="9" fontId="10" numFmtId="169" xfId="0" applyAlignment="1" applyBorder="1" applyFont="1" applyNumberFormat="1">
      <alignment horizontal="right"/>
    </xf>
    <xf borderId="111" fillId="3" fontId="10" numFmtId="164" xfId="0" applyAlignment="1" applyBorder="1" applyFont="1" applyNumberFormat="1">
      <alignment horizontal="right"/>
    </xf>
    <xf borderId="59" fillId="0" fontId="18" numFmtId="0" xfId="0" applyBorder="1" applyFont="1"/>
    <xf borderId="111" fillId="3" fontId="18" numFmtId="169" xfId="0" applyAlignment="1" applyBorder="1" applyFont="1" applyNumberFormat="1">
      <alignment horizontal="right"/>
    </xf>
    <xf borderId="59" fillId="0" fontId="15" numFmtId="0" xfId="0" applyBorder="1" applyFont="1"/>
    <xf borderId="87" fillId="0" fontId="15" numFmtId="0" xfId="0" applyBorder="1" applyFont="1"/>
    <xf borderId="74" fillId="7" fontId="12" numFmtId="169" xfId="0" applyAlignment="1" applyBorder="1" applyFont="1" applyNumberFormat="1">
      <alignment horizontal="right"/>
    </xf>
    <xf borderId="76" fillId="7" fontId="12" numFmtId="169" xfId="0" applyAlignment="1" applyBorder="1" applyFont="1" applyNumberFormat="1">
      <alignment horizontal="right"/>
    </xf>
    <xf borderId="2" fillId="0" fontId="12" numFmtId="0" xfId="0" applyAlignment="1" applyBorder="1" applyFont="1">
      <alignment horizontal="right"/>
    </xf>
    <xf borderId="71" fillId="3" fontId="10" numFmtId="0" xfId="0" applyBorder="1" applyFont="1"/>
    <xf borderId="0" fillId="0" fontId="18" numFmtId="173" xfId="0" applyFont="1" applyNumberFormat="1"/>
    <xf quotePrefix="1" borderId="0" fillId="0" fontId="18" numFmtId="0" xfId="0" applyFont="1"/>
    <xf borderId="113" fillId="0" fontId="10" numFmtId="0" xfId="0" applyBorder="1" applyFont="1"/>
    <xf borderId="2" fillId="0" fontId="10" numFmtId="0" xfId="0" applyAlignment="1" applyBorder="1" applyFont="1">
      <alignment horizontal="left"/>
    </xf>
    <xf borderId="12" fillId="0" fontId="10" numFmtId="0" xfId="0" applyAlignment="1" applyBorder="1" applyFont="1">
      <alignment horizontal="left"/>
    </xf>
    <xf borderId="113" fillId="0" fontId="10" numFmtId="9" xfId="0" applyBorder="1" applyFont="1" applyNumberFormat="1"/>
    <xf borderId="72" fillId="3" fontId="10" numFmtId="0" xfId="0" applyBorder="1" applyFont="1"/>
    <xf borderId="0" fillId="0" fontId="18" numFmtId="0" xfId="0" applyAlignment="1" applyFont="1">
      <alignment horizontal="center"/>
    </xf>
    <xf borderId="2" fillId="0" fontId="10" numFmtId="165" xfId="0" applyBorder="1" applyFont="1" applyNumberFormat="1"/>
    <xf borderId="2" fillId="0" fontId="10" numFmtId="9" xfId="0" applyBorder="1" applyFont="1" applyNumberFormat="1"/>
    <xf borderId="59" fillId="0" fontId="18" numFmtId="0" xfId="0" applyAlignment="1" applyBorder="1" applyFont="1">
      <alignment horizontal="right"/>
    </xf>
    <xf borderId="0" fillId="0" fontId="18" numFmtId="9" xfId="0" applyFont="1" applyNumberFormat="1"/>
    <xf borderId="71" fillId="3" fontId="15" numFmtId="174" xfId="0" applyBorder="1" applyFont="1" applyNumberFormat="1"/>
    <xf borderId="0" fillId="0" fontId="15" numFmtId="9" xfId="0" applyAlignment="1" applyFont="1" applyNumberFormat="1">
      <alignment horizontal="left"/>
    </xf>
    <xf borderId="71" fillId="9" fontId="15" numFmtId="3" xfId="0" applyBorder="1" applyFont="1" applyNumberFormat="1"/>
    <xf borderId="0" fillId="0" fontId="35" numFmtId="0" xfId="0" applyFont="1"/>
    <xf borderId="71" fillId="2" fontId="16" numFmtId="0" xfId="0" applyAlignment="1" applyBorder="1" applyFont="1">
      <alignment horizontal="center"/>
    </xf>
    <xf borderId="0" fillId="0" fontId="12" numFmtId="0" xfId="0" applyAlignment="1" applyFont="1">
      <alignment horizontal="center" shrinkToFit="0" wrapText="1"/>
    </xf>
    <xf borderId="0" fillId="0" fontId="10" numFmtId="0" xfId="0" applyAlignment="1" applyFont="1">
      <alignment horizontal="center" shrinkToFit="0" wrapText="1"/>
    </xf>
    <xf borderId="0" fillId="0" fontId="10" numFmtId="168" xfId="0" applyAlignment="1" applyFont="1" applyNumberFormat="1">
      <alignment horizontal="left" shrinkToFit="0" wrapText="1"/>
    </xf>
    <xf borderId="0" fillId="0" fontId="10" numFmtId="167" xfId="0" applyAlignment="1" applyFont="1" applyNumberFormat="1">
      <alignment horizontal="left" shrinkToFit="0" wrapText="1"/>
    </xf>
    <xf borderId="0" fillId="0" fontId="36" numFmtId="0" xfId="0" applyAlignment="1" applyFont="1">
      <alignment horizontal="left"/>
    </xf>
    <xf borderId="0" fillId="0" fontId="12" numFmtId="0" xfId="0" applyAlignment="1" applyFont="1">
      <alignment horizontal="left" shrinkToFit="0" wrapText="1"/>
    </xf>
    <xf borderId="0" fillId="0" fontId="37" numFmtId="0" xfId="0" applyFont="1"/>
    <xf borderId="0" fillId="0" fontId="10" numFmtId="1" xfId="0" applyAlignment="1" applyFont="1" applyNumberFormat="1">
      <alignment horizontal="right" shrinkToFit="0" wrapText="1"/>
    </xf>
    <xf borderId="0" fillId="0" fontId="12" numFmtId="0" xfId="0" applyAlignment="1" applyFont="1">
      <alignment horizontal="right" shrinkToFit="0" wrapText="1"/>
    </xf>
    <xf borderId="0" fillId="0" fontId="10" numFmtId="0" xfId="0" applyAlignment="1" applyFont="1">
      <alignment horizontal="right" shrinkToFit="0" wrapText="1"/>
    </xf>
    <xf borderId="0" fillId="0" fontId="10" numFmtId="171" xfId="0" applyAlignment="1" applyFont="1" applyNumberFormat="1">
      <alignment horizontal="right" shrinkToFit="0" wrapText="1"/>
    </xf>
    <xf borderId="0" fillId="0" fontId="10" numFmtId="171" xfId="0" applyFont="1" applyNumberFormat="1"/>
    <xf borderId="0" fillId="0" fontId="10" numFmtId="173" xfId="0" applyFont="1" applyNumberFormat="1"/>
    <xf borderId="0" fillId="0" fontId="10" numFmtId="10" xfId="0" applyAlignment="1" applyFont="1" applyNumberFormat="1">
      <alignment horizontal="right" shrinkToFit="0" wrapText="1"/>
    </xf>
    <xf borderId="0" fillId="0" fontId="10" numFmtId="173" xfId="0" applyAlignment="1" applyFont="1" applyNumberFormat="1">
      <alignment horizontal="right" shrinkToFit="0" wrapText="1"/>
    </xf>
    <xf borderId="2" fillId="0" fontId="10" numFmtId="171" xfId="0" applyAlignment="1" applyBorder="1" applyFont="1" applyNumberFormat="1">
      <alignment horizontal="right" shrinkToFit="0" wrapText="1"/>
    </xf>
    <xf borderId="2" fillId="0" fontId="10" numFmtId="0" xfId="0" applyAlignment="1" applyBorder="1" applyFont="1">
      <alignment horizontal="left" shrinkToFit="0" wrapText="1"/>
    </xf>
    <xf borderId="0" fillId="0" fontId="12" numFmtId="171" xfId="0" applyAlignment="1" applyFont="1" applyNumberFormat="1">
      <alignment horizontal="right" shrinkToFit="0" wrapText="1"/>
    </xf>
    <xf borderId="0" fillId="0" fontId="12" numFmtId="171" xfId="0" applyFont="1" applyNumberFormat="1"/>
    <xf borderId="2" fillId="0" fontId="12" numFmtId="0" xfId="0" applyAlignment="1" applyBorder="1" applyFont="1">
      <alignment horizontal="right" shrinkToFit="0" wrapText="1"/>
    </xf>
    <xf borderId="2" fillId="0" fontId="10" numFmtId="171" xfId="0" applyBorder="1" applyFont="1" applyNumberFormat="1"/>
    <xf borderId="0" fillId="0" fontId="10" numFmtId="170" xfId="0" applyFont="1" applyNumberFormat="1"/>
    <xf borderId="0" fillId="0" fontId="38" numFmtId="0" xfId="0" applyFont="1"/>
    <xf borderId="12" fillId="0" fontId="15" numFmtId="0" xfId="0" applyBorder="1" applyFont="1"/>
    <xf borderId="2" fillId="0" fontId="26" numFmtId="9" xfId="0" applyBorder="1" applyFont="1" applyNumberFormat="1"/>
    <xf borderId="113" fillId="0" fontId="26" numFmtId="9" xfId="0" applyBorder="1" applyFont="1" applyNumberFormat="1"/>
    <xf borderId="2" fillId="0" fontId="26" numFmtId="0" xfId="0" applyBorder="1" applyFont="1"/>
    <xf borderId="71" fillId="11" fontId="15" numFmtId="0" xfId="0" applyBorder="1" applyFill="1" applyFont="1"/>
    <xf borderId="72" fillId="11" fontId="15" numFmtId="0" xfId="0" applyBorder="1" applyFont="1"/>
  </cellXfs>
  <cellStyles count="1">
    <cellStyle xfId="0" name="Normal" builtinId="0"/>
  </cellStyles>
  <dxfs count="3">
    <dxf>
      <font>
        <color rgb="FF9C0006"/>
      </font>
      <fill>
        <patternFill patternType="solid">
          <fgColor rgb="FFFFC7CE"/>
          <bgColor rgb="FFFFC7CE"/>
        </patternFill>
      </fill>
      <border/>
    </dxf>
    <dxf>
      <font>
        <color rgb="FF006100"/>
      </font>
      <fill>
        <patternFill patternType="solid">
          <fgColor rgb="FFC6EFCE"/>
          <bgColor rgb="FFC6EFCE"/>
        </patternFill>
      </fill>
      <border/>
    </dxf>
    <dxf>
      <font>
        <color rgb="FF9C5700"/>
      </font>
      <fill>
        <patternFill patternType="solid">
          <fgColor rgb="FFFFEB9C"/>
          <bgColor rgb="FFFFEB9C"/>
        </patternFill>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22" Type="http://schemas.openxmlformats.org/officeDocument/2006/relationships/worksheet" Target="worksheets/sheet18.xml"/><Relationship Id="rId21" Type="http://schemas.openxmlformats.org/officeDocument/2006/relationships/worksheet" Target="worksheets/sheet17.xml"/><Relationship Id="rId24" Type="http://schemas.openxmlformats.org/officeDocument/2006/relationships/worksheet" Target="worksheets/sheet20.xml"/><Relationship Id="rId23" Type="http://schemas.openxmlformats.org/officeDocument/2006/relationships/worksheet" Target="worksheets/sheet1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26" Type="http://schemas.openxmlformats.org/officeDocument/2006/relationships/worksheet" Target="worksheets/sheet22.xml"/><Relationship Id="rId25" Type="http://schemas.openxmlformats.org/officeDocument/2006/relationships/worksheet" Target="worksheets/sheet21.xml"/><Relationship Id="rId28" Type="http://schemas.openxmlformats.org/officeDocument/2006/relationships/worksheet" Target="worksheets/sheet24.xml"/><Relationship Id="rId27" Type="http://schemas.openxmlformats.org/officeDocument/2006/relationships/worksheet" Target="worksheets/sheet23.xml"/><Relationship Id="rId5" Type="http://schemas.openxmlformats.org/officeDocument/2006/relationships/worksheet" Target="worksheets/sheet1.xml"/><Relationship Id="rId6" Type="http://schemas.openxmlformats.org/officeDocument/2006/relationships/worksheet" Target="worksheets/sheet2.xml"/><Relationship Id="rId29" Type="http://schemas.openxmlformats.org/officeDocument/2006/relationships/worksheet" Target="worksheets/sheet25.xml"/><Relationship Id="rId7" Type="http://schemas.openxmlformats.org/officeDocument/2006/relationships/worksheet" Target="worksheets/sheet3.xml"/><Relationship Id="rId8" Type="http://schemas.openxmlformats.org/officeDocument/2006/relationships/worksheet" Target="worksheets/sheet4.xml"/><Relationship Id="rId31" Type="http://schemas.openxmlformats.org/officeDocument/2006/relationships/worksheet" Target="worksheets/sheet27.xml"/><Relationship Id="rId30" Type="http://schemas.openxmlformats.org/officeDocument/2006/relationships/worksheet" Target="worksheets/sheet26.xml"/><Relationship Id="rId11" Type="http://schemas.openxmlformats.org/officeDocument/2006/relationships/worksheet" Target="worksheets/sheet7.xml"/><Relationship Id="rId33" Type="http://schemas.openxmlformats.org/officeDocument/2006/relationships/worksheet" Target="worksheets/sheet29.xml"/><Relationship Id="rId10" Type="http://schemas.openxmlformats.org/officeDocument/2006/relationships/worksheet" Target="worksheets/sheet6.xml"/><Relationship Id="rId32" Type="http://schemas.openxmlformats.org/officeDocument/2006/relationships/worksheet" Target="worksheets/sheet28.xml"/><Relationship Id="rId13" Type="http://schemas.openxmlformats.org/officeDocument/2006/relationships/worksheet" Target="worksheets/sheet9.xml"/><Relationship Id="rId35" Type="http://schemas.openxmlformats.org/officeDocument/2006/relationships/worksheet" Target="worksheets/sheet31.xml"/><Relationship Id="rId12" Type="http://schemas.openxmlformats.org/officeDocument/2006/relationships/worksheet" Target="worksheets/sheet8.xml"/><Relationship Id="rId34" Type="http://schemas.openxmlformats.org/officeDocument/2006/relationships/worksheet" Target="worksheets/sheet30.xml"/><Relationship Id="rId15" Type="http://schemas.openxmlformats.org/officeDocument/2006/relationships/worksheet" Target="worksheets/sheet11.xml"/><Relationship Id="rId14" Type="http://schemas.openxmlformats.org/officeDocument/2006/relationships/worksheet" Target="worksheets/sheet10.xml"/><Relationship Id="rId36" Type="http://schemas.openxmlformats.org/officeDocument/2006/relationships/worksheet" Target="worksheets/sheet32.xml"/><Relationship Id="rId17" Type="http://schemas.openxmlformats.org/officeDocument/2006/relationships/worksheet" Target="worksheets/sheet13.xml"/><Relationship Id="rId16" Type="http://schemas.openxmlformats.org/officeDocument/2006/relationships/worksheet" Target="worksheets/sheet12.xml"/><Relationship Id="rId19" Type="http://schemas.openxmlformats.org/officeDocument/2006/relationships/worksheet" Target="worksheets/sheet15.xml"/><Relationship Id="rId18"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06.13"/>
  </cols>
  <sheetData>
    <row r="1" ht="19.5" customHeight="1">
      <c r="A1" s="1" t="s">
        <v>0</v>
      </c>
      <c r="B1" s="1"/>
      <c r="C1" s="1"/>
      <c r="D1" s="1"/>
      <c r="E1" s="1"/>
      <c r="F1" s="1"/>
      <c r="G1" s="1"/>
      <c r="H1" s="1"/>
      <c r="I1" s="1"/>
    </row>
    <row r="2">
      <c r="A2" s="2" t="s">
        <v>1</v>
      </c>
    </row>
    <row r="3">
      <c r="A3" s="3" t="s">
        <v>2</v>
      </c>
    </row>
    <row r="4">
      <c r="A4" s="4" t="s">
        <v>3</v>
      </c>
    </row>
    <row r="5">
      <c r="A5" s="5"/>
    </row>
    <row r="6">
      <c r="A6" s="6" t="s">
        <v>4</v>
      </c>
    </row>
    <row r="7">
      <c r="A7" s="7" t="s">
        <v>5</v>
      </c>
    </row>
    <row r="8">
      <c r="A8" s="8"/>
    </row>
    <row r="9">
      <c r="A9" s="6" t="s">
        <v>6</v>
      </c>
    </row>
    <row r="10">
      <c r="A10" s="7" t="s">
        <v>7</v>
      </c>
    </row>
    <row r="11">
      <c r="A11" s="8"/>
    </row>
    <row r="12">
      <c r="A12" s="6" t="s">
        <v>8</v>
      </c>
    </row>
    <row r="13">
      <c r="A13" s="9" t="s">
        <v>9</v>
      </c>
      <c r="B13" s="10"/>
    </row>
    <row r="14">
      <c r="A14" s="9" t="s">
        <v>10</v>
      </c>
      <c r="B14" s="10"/>
    </row>
    <row r="15">
      <c r="A15" s="9" t="s">
        <v>11</v>
      </c>
      <c r="B15" s="10"/>
    </row>
    <row r="16">
      <c r="A16" s="9" t="s">
        <v>12</v>
      </c>
      <c r="B16" s="10"/>
    </row>
    <row r="17">
      <c r="A17" s="11"/>
    </row>
    <row r="18">
      <c r="A18" s="7" t="s">
        <v>13</v>
      </c>
    </row>
    <row r="19">
      <c r="A19" s="8"/>
    </row>
    <row r="20">
      <c r="A20" s="6" t="s">
        <v>14</v>
      </c>
    </row>
    <row r="21">
      <c r="A21" s="7" t="s">
        <v>15</v>
      </c>
    </row>
    <row r="22">
      <c r="A22" s="8"/>
    </row>
    <row r="24">
      <c r="A24" s="12"/>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5E0B3"/>
    <pageSetUpPr/>
  </sheetPr>
  <sheetViews>
    <sheetView workbookViewId="0"/>
  </sheetViews>
  <sheetFormatPr customHeight="1" defaultColWidth="12.63" defaultRowHeight="15.0"/>
  <cols>
    <col customWidth="1" min="1" max="1" width="2.63"/>
    <col customWidth="1" min="2" max="2" width="52.63"/>
    <col customWidth="1" min="3" max="7" width="20.63"/>
    <col customWidth="1" min="8" max="8" width="14.88"/>
    <col customWidth="1" min="9" max="9" width="14.38"/>
    <col customWidth="1" min="10" max="10" width="15.13"/>
    <col customWidth="1" min="11" max="26" width="8.0"/>
  </cols>
  <sheetData>
    <row r="1" ht="9.0" customHeight="1">
      <c r="A1" s="13"/>
      <c r="B1" s="13"/>
      <c r="C1" s="34"/>
      <c r="D1" s="13"/>
      <c r="E1" s="13"/>
      <c r="F1" s="13"/>
      <c r="G1" s="13"/>
      <c r="H1" s="13"/>
      <c r="I1" s="13"/>
      <c r="J1" s="13"/>
      <c r="K1" s="13"/>
      <c r="L1" s="13"/>
      <c r="M1" s="13"/>
      <c r="N1" s="13"/>
      <c r="O1" s="13"/>
      <c r="P1" s="13"/>
      <c r="Q1" s="13"/>
      <c r="R1" s="13"/>
      <c r="S1" s="13"/>
      <c r="T1" s="13"/>
      <c r="U1" s="13"/>
      <c r="V1" s="13"/>
      <c r="W1" s="13"/>
      <c r="X1" s="13"/>
      <c r="Y1" s="13"/>
      <c r="Z1" s="13"/>
    </row>
    <row r="2">
      <c r="A2" s="13"/>
      <c r="B2" s="36" t="s">
        <v>43</v>
      </c>
      <c r="C2" s="37"/>
      <c r="D2" s="37"/>
      <c r="E2" s="37"/>
      <c r="F2" s="37"/>
      <c r="G2" s="37"/>
      <c r="H2" s="38"/>
      <c r="I2" s="39" t="s">
        <v>44</v>
      </c>
      <c r="J2" s="39"/>
      <c r="K2" s="13"/>
      <c r="L2" s="13"/>
      <c r="M2" s="13"/>
      <c r="N2" s="13"/>
      <c r="O2" s="13"/>
      <c r="P2" s="13"/>
      <c r="Q2" s="13"/>
      <c r="R2" s="13"/>
      <c r="S2" s="13"/>
      <c r="T2" s="13"/>
      <c r="U2" s="13"/>
      <c r="V2" s="13"/>
      <c r="W2" s="13"/>
      <c r="X2" s="13"/>
      <c r="Y2" s="13"/>
      <c r="Z2" s="13"/>
    </row>
    <row r="3">
      <c r="A3" s="13"/>
      <c r="B3" s="13"/>
      <c r="C3" s="34"/>
      <c r="D3" s="13"/>
      <c r="E3" s="13"/>
      <c r="F3" s="13"/>
      <c r="G3" s="13"/>
      <c r="H3" s="13"/>
      <c r="I3" s="13"/>
      <c r="J3" s="13"/>
      <c r="K3" s="13"/>
      <c r="L3" s="13"/>
      <c r="M3" s="13"/>
      <c r="N3" s="13"/>
      <c r="O3" s="13"/>
      <c r="P3" s="13"/>
      <c r="Q3" s="13"/>
      <c r="R3" s="13"/>
      <c r="S3" s="13"/>
      <c r="T3" s="13"/>
      <c r="U3" s="13"/>
      <c r="V3" s="13"/>
      <c r="W3" s="13"/>
      <c r="X3" s="13"/>
      <c r="Y3" s="13"/>
      <c r="Z3" s="13"/>
    </row>
    <row r="4">
      <c r="A4" s="13"/>
      <c r="B4" s="40" t="s">
        <v>45</v>
      </c>
      <c r="C4" s="41"/>
      <c r="D4" s="42" t="s">
        <v>46</v>
      </c>
      <c r="E4" s="41"/>
      <c r="F4" s="13"/>
      <c r="G4" s="13"/>
      <c r="H4" s="13"/>
      <c r="I4" s="13"/>
      <c r="J4" s="13"/>
      <c r="K4" s="13"/>
      <c r="L4" s="13"/>
      <c r="M4" s="13"/>
      <c r="N4" s="13"/>
      <c r="O4" s="13"/>
      <c r="P4" s="13"/>
      <c r="Q4" s="13"/>
      <c r="R4" s="13"/>
      <c r="S4" s="13"/>
      <c r="T4" s="13"/>
      <c r="U4" s="13"/>
      <c r="V4" s="13"/>
      <c r="W4" s="13"/>
      <c r="X4" s="13"/>
      <c r="Y4" s="13"/>
      <c r="Z4" s="13"/>
    </row>
    <row r="5">
      <c r="A5" s="13"/>
      <c r="B5" s="43" t="str">
        <f t="shared" ref="B5:B14" si="1">B20</f>
        <v>WHEDA Tax Credit Permanent Financing Loan</v>
      </c>
      <c r="C5" s="44">
        <f t="shared" ref="C5:C14" si="2">D20</f>
        <v>10000000</v>
      </c>
      <c r="D5" s="45" t="s">
        <v>47</v>
      </c>
      <c r="E5" s="46">
        <f>C44</f>
        <v>0</v>
      </c>
      <c r="F5" s="47"/>
      <c r="G5" s="48"/>
      <c r="H5" s="35"/>
      <c r="I5" s="13"/>
      <c r="J5" s="13"/>
      <c r="K5" s="13"/>
      <c r="L5" s="13"/>
      <c r="M5" s="13"/>
      <c r="N5" s="13"/>
      <c r="O5" s="13"/>
      <c r="P5" s="13"/>
      <c r="Q5" s="13"/>
      <c r="R5" s="13"/>
      <c r="S5" s="13"/>
      <c r="T5" s="13"/>
      <c r="U5" s="13"/>
      <c r="V5" s="13"/>
      <c r="W5" s="13"/>
      <c r="X5" s="13"/>
      <c r="Y5" s="13"/>
      <c r="Z5" s="13"/>
    </row>
    <row r="6">
      <c r="A6" s="13"/>
      <c r="B6" s="43" t="str">
        <f t="shared" si="1"/>
        <v>Federal Tax Credit Equity (9%)</v>
      </c>
      <c r="C6" s="44">
        <f t="shared" si="2"/>
        <v>12040000</v>
      </c>
      <c r="D6" s="49" t="s">
        <v>49</v>
      </c>
      <c r="E6" s="50">
        <f>C53</f>
        <v>27127289.37</v>
      </c>
      <c r="F6" s="13"/>
      <c r="G6" s="58"/>
      <c r="H6" s="13"/>
      <c r="I6" s="13"/>
      <c r="J6" s="13"/>
      <c r="K6" s="13"/>
      <c r="L6" s="13"/>
      <c r="M6" s="13"/>
      <c r="N6" s="13"/>
      <c r="O6" s="13"/>
      <c r="P6" s="13"/>
      <c r="Q6" s="13"/>
      <c r="R6" s="13"/>
      <c r="S6" s="13"/>
      <c r="T6" s="13"/>
      <c r="U6" s="13"/>
      <c r="V6" s="13"/>
      <c r="W6" s="13"/>
      <c r="X6" s="13"/>
      <c r="Y6" s="13"/>
      <c r="Z6" s="13"/>
    </row>
    <row r="7">
      <c r="A7" s="13"/>
      <c r="B7" s="43" t="str">
        <f t="shared" si="1"/>
        <v>FHLB AHP Loan</v>
      </c>
      <c r="C7" s="44">
        <f t="shared" si="2"/>
        <v>900000</v>
      </c>
      <c r="D7" s="49" t="s">
        <v>50</v>
      </c>
      <c r="E7" s="50">
        <f>C64</f>
        <v>408723.4509</v>
      </c>
      <c r="F7" s="13"/>
      <c r="G7" s="13"/>
      <c r="H7" s="13"/>
      <c r="I7" s="13"/>
      <c r="J7" s="13"/>
      <c r="K7" s="13"/>
      <c r="L7" s="13"/>
      <c r="M7" s="13"/>
      <c r="N7" s="13"/>
      <c r="O7" s="13"/>
      <c r="P7" s="13"/>
      <c r="Q7" s="13"/>
      <c r="R7" s="13"/>
      <c r="S7" s="13"/>
      <c r="T7" s="13"/>
      <c r="U7" s="13"/>
      <c r="V7" s="13"/>
      <c r="W7" s="13"/>
      <c r="X7" s="13"/>
      <c r="Y7" s="13"/>
      <c r="Z7" s="13"/>
    </row>
    <row r="8">
      <c r="A8" s="13"/>
      <c r="B8" s="43" t="str">
        <f t="shared" si="1"/>
        <v>Deferred Developer Fee</v>
      </c>
      <c r="C8" s="44">
        <f t="shared" si="2"/>
        <v>1344000</v>
      </c>
      <c r="D8" s="49" t="s">
        <v>51</v>
      </c>
      <c r="E8" s="50">
        <f>C78</f>
        <v>4255297.463</v>
      </c>
      <c r="F8" s="13"/>
      <c r="G8" s="13"/>
      <c r="H8" s="13"/>
      <c r="I8" s="13"/>
      <c r="J8" s="13"/>
      <c r="K8" s="13"/>
      <c r="L8" s="13"/>
      <c r="M8" s="13"/>
      <c r="N8" s="13"/>
      <c r="O8" s="13"/>
      <c r="P8" s="13"/>
      <c r="Q8" s="13"/>
      <c r="R8" s="13"/>
      <c r="S8" s="13"/>
      <c r="T8" s="13"/>
      <c r="U8" s="13"/>
      <c r="V8" s="13"/>
      <c r="W8" s="13"/>
      <c r="X8" s="13"/>
      <c r="Y8" s="13"/>
      <c r="Z8" s="13"/>
    </row>
    <row r="9">
      <c r="A9" s="13"/>
      <c r="B9" s="43" t="str">
        <f t="shared" si="1"/>
        <v>Focus On Energy Solar Incentive (Solar)</v>
      </c>
      <c r="C9" s="44">
        <f t="shared" si="2"/>
        <v>50000</v>
      </c>
      <c r="D9" s="49" t="s">
        <v>52</v>
      </c>
      <c r="E9" s="50">
        <f>C92</f>
        <v>403685.025</v>
      </c>
      <c r="F9" s="13"/>
      <c r="G9" s="13"/>
      <c r="H9" s="13"/>
      <c r="I9" s="13"/>
      <c r="J9" s="13"/>
      <c r="K9" s="13"/>
      <c r="L9" s="13"/>
      <c r="M9" s="13"/>
      <c r="N9" s="13"/>
      <c r="O9" s="13"/>
      <c r="P9" s="13"/>
      <c r="Q9" s="13"/>
      <c r="R9" s="13"/>
      <c r="S9" s="13"/>
      <c r="T9" s="13"/>
      <c r="U9" s="13"/>
      <c r="V9" s="13"/>
      <c r="W9" s="13"/>
      <c r="X9" s="13"/>
      <c r="Y9" s="13"/>
      <c r="Z9" s="13"/>
    </row>
    <row r="10">
      <c r="A10" s="13"/>
      <c r="B10" s="43" t="str">
        <f t="shared" si="1"/>
        <v>RENEW Wisconsin Solar for Good Grant (Solar)</v>
      </c>
      <c r="C10" s="44">
        <f t="shared" si="2"/>
        <v>50000</v>
      </c>
      <c r="D10" s="49" t="s">
        <v>53</v>
      </c>
      <c r="E10" s="50">
        <f>C104</f>
        <v>224137.5</v>
      </c>
      <c r="F10" s="13"/>
      <c r="G10" s="13"/>
      <c r="H10" s="13"/>
      <c r="I10" s="13"/>
      <c r="J10" s="13"/>
      <c r="K10" s="13"/>
      <c r="L10" s="13"/>
      <c r="M10" s="13"/>
      <c r="N10" s="13"/>
      <c r="O10" s="13"/>
      <c r="P10" s="13"/>
      <c r="Q10" s="13"/>
      <c r="R10" s="13"/>
      <c r="S10" s="13"/>
      <c r="T10" s="13"/>
      <c r="U10" s="13"/>
      <c r="V10" s="13"/>
      <c r="W10" s="13"/>
      <c r="X10" s="13"/>
      <c r="Y10" s="13"/>
      <c r="Z10" s="13"/>
    </row>
    <row r="11">
      <c r="A11" s="13"/>
      <c r="B11" s="43" t="str">
        <f t="shared" si="1"/>
        <v>Source 7</v>
      </c>
      <c r="C11" s="44">
        <f t="shared" si="2"/>
        <v>0</v>
      </c>
      <c r="D11" s="49" t="s">
        <v>54</v>
      </c>
      <c r="E11" s="50">
        <f>C111</f>
        <v>2688000</v>
      </c>
      <c r="F11" s="13"/>
      <c r="G11" s="13"/>
      <c r="H11" s="13"/>
      <c r="I11" s="13"/>
      <c r="J11" s="13"/>
      <c r="K11" s="13"/>
      <c r="L11" s="13"/>
      <c r="M11" s="13"/>
      <c r="N11" s="13"/>
      <c r="O11" s="13"/>
      <c r="P11" s="13"/>
      <c r="Q11" s="13"/>
      <c r="R11" s="13"/>
      <c r="S11" s="13"/>
      <c r="T11" s="13"/>
      <c r="U11" s="13"/>
      <c r="V11" s="13"/>
      <c r="W11" s="13"/>
      <c r="X11" s="13"/>
      <c r="Y11" s="13"/>
      <c r="Z11" s="13"/>
    </row>
    <row r="12">
      <c r="A12" s="13"/>
      <c r="B12" s="43" t="str">
        <f t="shared" si="1"/>
        <v>Source 8</v>
      </c>
      <c r="C12" s="44">
        <f t="shared" si="2"/>
        <v>0</v>
      </c>
      <c r="D12" s="49" t="s">
        <v>55</v>
      </c>
      <c r="E12" s="50">
        <f>C122</f>
        <v>516500.6855</v>
      </c>
      <c r="F12" s="13"/>
      <c r="G12" s="13"/>
      <c r="H12" s="13"/>
      <c r="I12" s="13"/>
      <c r="J12" s="13"/>
      <c r="K12" s="13"/>
      <c r="L12" s="13"/>
      <c r="M12" s="13"/>
      <c r="N12" s="13"/>
      <c r="O12" s="13"/>
      <c r="P12" s="13"/>
      <c r="Q12" s="13"/>
      <c r="R12" s="13"/>
      <c r="S12" s="13"/>
      <c r="T12" s="13"/>
      <c r="U12" s="13"/>
      <c r="V12" s="13"/>
      <c r="W12" s="13"/>
      <c r="X12" s="13"/>
      <c r="Y12" s="13"/>
      <c r="Z12" s="13"/>
    </row>
    <row r="13">
      <c r="A13" s="13"/>
      <c r="B13" s="43" t="str">
        <f t="shared" si="1"/>
        <v>Source 9</v>
      </c>
      <c r="C13" s="44">
        <f t="shared" si="2"/>
        <v>0</v>
      </c>
      <c r="D13" s="49" t="s">
        <v>56</v>
      </c>
      <c r="E13" s="50">
        <v>0.0</v>
      </c>
      <c r="F13" s="13"/>
      <c r="G13" s="13"/>
      <c r="H13" s="13"/>
      <c r="I13" s="13"/>
      <c r="J13" s="13"/>
      <c r="K13" s="13"/>
      <c r="L13" s="13"/>
      <c r="M13" s="13"/>
      <c r="N13" s="13"/>
      <c r="O13" s="13"/>
      <c r="P13" s="13"/>
      <c r="Q13" s="13"/>
      <c r="R13" s="13"/>
      <c r="S13" s="13"/>
      <c r="T13" s="13"/>
      <c r="U13" s="13"/>
      <c r="V13" s="13"/>
      <c r="W13" s="13"/>
      <c r="X13" s="13"/>
      <c r="Y13" s="13"/>
      <c r="Z13" s="13"/>
    </row>
    <row r="14">
      <c r="A14" s="13"/>
      <c r="B14" s="43" t="str">
        <f t="shared" si="1"/>
        <v>Source 10</v>
      </c>
      <c r="C14" s="44">
        <f t="shared" si="2"/>
        <v>0</v>
      </c>
      <c r="D14" s="51" t="s">
        <v>56</v>
      </c>
      <c r="E14" s="52">
        <v>0.0</v>
      </c>
      <c r="F14" s="13"/>
      <c r="G14" s="13"/>
      <c r="H14" s="13"/>
      <c r="I14" s="58"/>
      <c r="J14" s="13"/>
      <c r="K14" s="13"/>
      <c r="L14" s="13"/>
      <c r="M14" s="13"/>
      <c r="N14" s="13"/>
      <c r="O14" s="13"/>
      <c r="P14" s="13"/>
      <c r="Q14" s="13"/>
      <c r="R14" s="13"/>
      <c r="S14" s="13"/>
      <c r="T14" s="13"/>
      <c r="U14" s="13"/>
      <c r="V14" s="13"/>
      <c r="W14" s="13"/>
      <c r="X14" s="13"/>
      <c r="Y14" s="13"/>
      <c r="Z14" s="13"/>
    </row>
    <row r="15">
      <c r="A15" s="13"/>
      <c r="B15" s="53" t="s">
        <v>57</v>
      </c>
      <c r="C15" s="54">
        <f>SUM(C5:C14)</f>
        <v>24384000</v>
      </c>
      <c r="D15" s="55" t="s">
        <v>58</v>
      </c>
      <c r="E15" s="56">
        <f>SUM(E5:E14)</f>
        <v>35623633.49</v>
      </c>
      <c r="F15" s="47" t="s">
        <v>59</v>
      </c>
      <c r="G15" s="57">
        <f>C15-E15</f>
        <v>-11239633.49</v>
      </c>
      <c r="H15" s="58" t="s">
        <v>536</v>
      </c>
      <c r="I15" s="13"/>
      <c r="J15" s="13"/>
      <c r="K15" s="13"/>
      <c r="L15" s="13"/>
      <c r="M15" s="13"/>
      <c r="N15" s="13"/>
      <c r="O15" s="13"/>
      <c r="P15" s="13"/>
      <c r="Q15" s="13"/>
      <c r="R15" s="13"/>
      <c r="S15" s="13"/>
      <c r="T15" s="13"/>
      <c r="U15" s="13"/>
      <c r="V15" s="13"/>
      <c r="W15" s="13"/>
      <c r="X15" s="13"/>
      <c r="Y15" s="13"/>
      <c r="Z15" s="13"/>
    </row>
    <row r="16">
      <c r="A16" s="13"/>
      <c r="B16" s="13"/>
      <c r="C16" s="34"/>
      <c r="D16" s="13"/>
      <c r="E16" s="13"/>
      <c r="F16" s="13"/>
      <c r="G16" s="13"/>
      <c r="H16" s="13"/>
      <c r="I16" s="13"/>
      <c r="J16" s="13"/>
      <c r="K16" s="13"/>
      <c r="L16" s="13"/>
      <c r="M16" s="13"/>
      <c r="N16" s="13"/>
      <c r="O16" s="13"/>
      <c r="P16" s="13"/>
      <c r="Q16" s="13"/>
      <c r="R16" s="13"/>
      <c r="S16" s="13"/>
      <c r="T16" s="13"/>
      <c r="U16" s="13"/>
      <c r="V16" s="13"/>
      <c r="W16" s="13"/>
      <c r="X16" s="13"/>
      <c r="Y16" s="13"/>
      <c r="Z16" s="13"/>
    </row>
    <row r="17">
      <c r="A17" s="13"/>
      <c r="B17" s="60" t="s">
        <v>45</v>
      </c>
      <c r="C17" s="37"/>
      <c r="D17" s="37"/>
      <c r="E17" s="37"/>
      <c r="F17" s="37"/>
      <c r="G17" s="37"/>
      <c r="H17" s="61"/>
      <c r="I17" s="61"/>
      <c r="J17" s="61"/>
      <c r="K17" s="13"/>
      <c r="L17" s="13"/>
      <c r="M17" s="13"/>
      <c r="N17" s="13"/>
      <c r="O17" s="13"/>
      <c r="P17" s="13"/>
      <c r="Q17" s="13"/>
      <c r="R17" s="13"/>
      <c r="S17" s="13"/>
      <c r="T17" s="13"/>
      <c r="U17" s="13"/>
      <c r="V17" s="13"/>
      <c r="W17" s="13"/>
      <c r="X17" s="13"/>
      <c r="Y17" s="13"/>
      <c r="Z17" s="13"/>
    </row>
    <row r="18">
      <c r="A18" s="13"/>
      <c r="B18" s="62"/>
      <c r="C18" s="34"/>
      <c r="D18" s="13"/>
      <c r="E18" s="13"/>
      <c r="F18" s="13"/>
      <c r="G18" s="13"/>
      <c r="H18" s="13"/>
      <c r="I18" s="13"/>
      <c r="J18" s="13"/>
      <c r="K18" s="13"/>
      <c r="L18" s="13"/>
      <c r="M18" s="13"/>
      <c r="N18" s="13"/>
      <c r="O18" s="13"/>
      <c r="P18" s="13"/>
      <c r="Q18" s="13"/>
      <c r="R18" s="13"/>
      <c r="S18" s="13"/>
      <c r="T18" s="13"/>
      <c r="U18" s="13"/>
      <c r="V18" s="13"/>
      <c r="W18" s="13"/>
      <c r="X18" s="13"/>
      <c r="Y18" s="13"/>
      <c r="Z18" s="13"/>
    </row>
    <row r="19">
      <c r="A19" s="13"/>
      <c r="B19" s="63" t="s">
        <v>60</v>
      </c>
      <c r="C19" s="64" t="s">
        <v>61</v>
      </c>
      <c r="D19" s="64" t="s">
        <v>62</v>
      </c>
      <c r="E19" s="64" t="s">
        <v>63</v>
      </c>
      <c r="F19" s="64" t="s">
        <v>64</v>
      </c>
      <c r="G19" s="65" t="s">
        <v>65</v>
      </c>
      <c r="H19" s="65" t="s">
        <v>66</v>
      </c>
      <c r="I19" s="66" t="s">
        <v>67</v>
      </c>
      <c r="J19" s="13"/>
      <c r="K19" s="13"/>
      <c r="L19" s="13"/>
      <c r="M19" s="13"/>
      <c r="N19" s="13"/>
      <c r="O19" s="13"/>
      <c r="P19" s="13"/>
      <c r="Q19" s="13"/>
      <c r="R19" s="13"/>
      <c r="S19" s="13"/>
      <c r="T19" s="13"/>
      <c r="U19" s="13"/>
      <c r="V19" s="13"/>
      <c r="W19" s="13"/>
      <c r="X19" s="13"/>
      <c r="Y19" s="13"/>
      <c r="Z19" s="13"/>
    </row>
    <row r="20">
      <c r="A20" s="13"/>
      <c r="B20" s="67" t="s">
        <v>537</v>
      </c>
      <c r="C20" s="68" t="s">
        <v>68</v>
      </c>
      <c r="D20" s="69">
        <f>'Loan Sizing (P2)'!D14</f>
        <v>10000000</v>
      </c>
      <c r="E20" s="70">
        <f>'Loan Sizing (P2)'!D11</f>
        <v>0.063</v>
      </c>
      <c r="F20" s="80">
        <f>'Loan Sizing (P2)'!D10*12</f>
        <v>420</v>
      </c>
      <c r="G20" s="409">
        <f t="shared" ref="G20:G29" si="3">IF(C20="Hard Debt",(PMT(E20/12,F20,-D20)*12),0)</f>
        <v>708572.373</v>
      </c>
      <c r="H20" s="82">
        <f>D20/unit_two</f>
        <v>78125</v>
      </c>
      <c r="I20" s="85">
        <f t="shared" ref="I20:I29" si="4">IF(C20="Hard Debt",PMT(E20/12,F20,D20,0),0)</f>
        <v>-59047.69775</v>
      </c>
      <c r="J20" s="75"/>
      <c r="K20" s="13"/>
      <c r="L20" s="13"/>
      <c r="M20" s="13"/>
      <c r="N20" s="13"/>
      <c r="O20" s="13"/>
      <c r="P20" s="13"/>
      <c r="Q20" s="13"/>
      <c r="R20" s="13"/>
      <c r="S20" s="13"/>
      <c r="T20" s="13"/>
      <c r="U20" s="13"/>
      <c r="V20" s="13"/>
      <c r="W20" s="13"/>
      <c r="X20" s="13"/>
      <c r="Y20" s="13"/>
      <c r="Z20" s="13"/>
    </row>
    <row r="21" ht="15.75" customHeight="1">
      <c r="A21" s="13"/>
      <c r="B21" s="76" t="s">
        <v>538</v>
      </c>
      <c r="C21" s="77" t="s">
        <v>71</v>
      </c>
      <c r="D21" s="78">
        <f>C154</f>
        <v>12040000</v>
      </c>
      <c r="E21" s="79">
        <v>0.0</v>
      </c>
      <c r="F21" s="80"/>
      <c r="G21" s="84">
        <f t="shared" si="3"/>
        <v>0</v>
      </c>
      <c r="H21" s="84">
        <f>D21/unit_two</f>
        <v>94062.5</v>
      </c>
      <c r="I21" s="85">
        <f t="shared" si="4"/>
        <v>0</v>
      </c>
      <c r="J21" s="13"/>
      <c r="K21" s="13"/>
      <c r="L21" s="13"/>
      <c r="M21" s="13"/>
      <c r="N21" s="13"/>
      <c r="O21" s="13"/>
      <c r="P21" s="13"/>
      <c r="Q21" s="13"/>
      <c r="R21" s="13"/>
      <c r="S21" s="13"/>
      <c r="T21" s="13"/>
      <c r="U21" s="13"/>
      <c r="V21" s="13"/>
      <c r="W21" s="13"/>
      <c r="X21" s="13"/>
      <c r="Y21" s="13"/>
      <c r="Z21" s="13"/>
    </row>
    <row r="22" ht="15.75" customHeight="1">
      <c r="A22" s="13"/>
      <c r="B22" s="76" t="s">
        <v>539</v>
      </c>
      <c r="C22" s="77" t="s">
        <v>75</v>
      </c>
      <c r="D22" s="78">
        <v>900000.0</v>
      </c>
      <c r="E22" s="79">
        <v>0.0</v>
      </c>
      <c r="F22" s="80"/>
      <c r="G22" s="84">
        <f t="shared" si="3"/>
        <v>0</v>
      </c>
      <c r="H22" s="84">
        <f>D22/unit_two</f>
        <v>7031.25</v>
      </c>
      <c r="I22" s="85">
        <f t="shared" si="4"/>
        <v>0</v>
      </c>
      <c r="K22" s="13"/>
      <c r="L22" s="13"/>
      <c r="M22" s="13"/>
      <c r="N22" s="13"/>
      <c r="O22" s="13"/>
      <c r="P22" s="13"/>
      <c r="Q22" s="13"/>
      <c r="R22" s="13"/>
      <c r="S22" s="13"/>
      <c r="T22" s="13"/>
      <c r="U22" s="13"/>
      <c r="V22" s="13"/>
      <c r="W22" s="13"/>
      <c r="X22" s="13"/>
      <c r="Y22" s="13"/>
      <c r="Z22" s="13"/>
    </row>
    <row r="23" ht="15.75" customHeight="1">
      <c r="A23" s="13"/>
      <c r="B23" s="76" t="s">
        <v>73</v>
      </c>
      <c r="C23" s="77" t="s">
        <v>73</v>
      </c>
      <c r="D23" s="78">
        <f>C109*0.5</f>
        <v>1344000</v>
      </c>
      <c r="E23" s="79">
        <v>0.0</v>
      </c>
      <c r="F23" s="80"/>
      <c r="G23" s="84">
        <f t="shared" si="3"/>
        <v>0</v>
      </c>
      <c r="H23" s="84">
        <f>D23/unit_two</f>
        <v>10500</v>
      </c>
      <c r="I23" s="85">
        <f t="shared" si="4"/>
        <v>0</v>
      </c>
      <c r="J23" s="13"/>
      <c r="K23" s="15"/>
      <c r="L23" s="13"/>
      <c r="M23" s="13"/>
      <c r="N23" s="13"/>
      <c r="O23" s="13"/>
      <c r="P23" s="13"/>
      <c r="Q23" s="13"/>
      <c r="R23" s="13"/>
      <c r="S23" s="13"/>
      <c r="T23" s="13"/>
      <c r="U23" s="13"/>
      <c r="V23" s="13"/>
      <c r="W23" s="13"/>
      <c r="X23" s="13"/>
      <c r="Y23" s="13"/>
      <c r="Z23" s="13"/>
    </row>
    <row r="24" ht="15.75" customHeight="1">
      <c r="A24" s="13"/>
      <c r="B24" s="76" t="s">
        <v>76</v>
      </c>
      <c r="C24" s="77" t="s">
        <v>77</v>
      </c>
      <c r="D24" s="78">
        <f>'Assumptions (P2)'!D122</f>
        <v>50000</v>
      </c>
      <c r="E24" s="79">
        <v>0.0</v>
      </c>
      <c r="F24" s="80"/>
      <c r="G24" s="84">
        <f t="shared" si="3"/>
        <v>0</v>
      </c>
      <c r="H24" s="84">
        <f>D24/unit_two</f>
        <v>390.625</v>
      </c>
      <c r="I24" s="85">
        <f t="shared" si="4"/>
        <v>0</v>
      </c>
      <c r="J24" s="58"/>
      <c r="K24" s="13"/>
      <c r="L24" s="13"/>
      <c r="M24" s="13"/>
      <c r="N24" s="13"/>
      <c r="O24" s="13"/>
      <c r="P24" s="13"/>
      <c r="Q24" s="13"/>
      <c r="R24" s="13"/>
      <c r="S24" s="13"/>
      <c r="T24" s="13"/>
      <c r="U24" s="13"/>
      <c r="V24" s="13"/>
      <c r="W24" s="13"/>
      <c r="X24" s="13"/>
      <c r="Y24" s="13"/>
      <c r="Z24" s="13"/>
    </row>
    <row r="25" ht="15.75" customHeight="1">
      <c r="A25" s="13"/>
      <c r="B25" s="76" t="s">
        <v>78</v>
      </c>
      <c r="C25" s="77" t="s">
        <v>77</v>
      </c>
      <c r="D25" s="78">
        <v>50000.0</v>
      </c>
      <c r="E25" s="79">
        <v>0.0</v>
      </c>
      <c r="F25" s="80"/>
      <c r="G25" s="84">
        <f t="shared" si="3"/>
        <v>0</v>
      </c>
      <c r="H25" s="84">
        <f>D25/unit_two</f>
        <v>390.625</v>
      </c>
      <c r="I25" s="85">
        <f t="shared" si="4"/>
        <v>0</v>
      </c>
      <c r="J25" s="13"/>
      <c r="K25" s="13"/>
      <c r="L25" s="13"/>
      <c r="M25" s="13"/>
      <c r="N25" s="13"/>
      <c r="O25" s="13"/>
      <c r="P25" s="13"/>
      <c r="Q25" s="13"/>
      <c r="R25" s="13"/>
      <c r="S25" s="13"/>
      <c r="T25" s="13"/>
      <c r="U25" s="13"/>
      <c r="V25" s="13"/>
      <c r="W25" s="13"/>
      <c r="X25" s="13"/>
      <c r="Y25" s="13"/>
      <c r="Z25" s="13"/>
    </row>
    <row r="26" ht="15.75" customHeight="1">
      <c r="A26" s="13"/>
      <c r="B26" s="76" t="s">
        <v>540</v>
      </c>
      <c r="C26" s="77"/>
      <c r="D26" s="78">
        <v>0.0</v>
      </c>
      <c r="E26" s="79">
        <v>0.0</v>
      </c>
      <c r="F26" s="80"/>
      <c r="G26" s="84">
        <f t="shared" si="3"/>
        <v>0</v>
      </c>
      <c r="H26" s="84">
        <f>D26/unit_two</f>
        <v>0</v>
      </c>
      <c r="I26" s="85">
        <f t="shared" si="4"/>
        <v>0</v>
      </c>
      <c r="J26" s="13"/>
      <c r="K26" s="13"/>
      <c r="L26" s="13"/>
      <c r="M26" s="13"/>
      <c r="N26" s="13"/>
      <c r="O26" s="13"/>
      <c r="P26" s="13"/>
      <c r="Q26" s="13"/>
      <c r="R26" s="13"/>
      <c r="S26" s="13"/>
      <c r="T26" s="13"/>
      <c r="U26" s="13"/>
      <c r="V26" s="13"/>
      <c r="W26" s="13"/>
      <c r="X26" s="13"/>
      <c r="Y26" s="13"/>
      <c r="Z26" s="13"/>
    </row>
    <row r="27" ht="15.75" customHeight="1">
      <c r="A27" s="13"/>
      <c r="B27" s="76" t="s">
        <v>541</v>
      </c>
      <c r="C27" s="77"/>
      <c r="D27" s="78">
        <v>0.0</v>
      </c>
      <c r="E27" s="79">
        <v>0.0</v>
      </c>
      <c r="F27" s="80"/>
      <c r="G27" s="84">
        <f t="shared" si="3"/>
        <v>0</v>
      </c>
      <c r="H27" s="84">
        <f>D27/unit_two</f>
        <v>0</v>
      </c>
      <c r="I27" s="85">
        <f t="shared" si="4"/>
        <v>0</v>
      </c>
      <c r="J27" s="13"/>
      <c r="K27" s="13"/>
      <c r="L27" s="13"/>
      <c r="M27" s="13"/>
      <c r="N27" s="13"/>
      <c r="O27" s="13"/>
      <c r="P27" s="13"/>
      <c r="Q27" s="13"/>
      <c r="R27" s="13"/>
      <c r="S27" s="13"/>
      <c r="T27" s="13"/>
      <c r="U27" s="13"/>
      <c r="V27" s="13"/>
      <c r="W27" s="13"/>
      <c r="X27" s="13"/>
      <c r="Y27" s="13"/>
      <c r="Z27" s="13"/>
    </row>
    <row r="28" ht="15.75" customHeight="1">
      <c r="A28" s="13"/>
      <c r="B28" s="76" t="s">
        <v>79</v>
      </c>
      <c r="C28" s="410"/>
      <c r="D28" s="411">
        <v>0.0</v>
      </c>
      <c r="E28" s="79">
        <v>0.0</v>
      </c>
      <c r="F28" s="77"/>
      <c r="G28" s="84">
        <f t="shared" si="3"/>
        <v>0</v>
      </c>
      <c r="H28" s="84">
        <f>D28/unit_two</f>
        <v>0</v>
      </c>
      <c r="I28" s="50">
        <f t="shared" si="4"/>
        <v>0</v>
      </c>
      <c r="J28" s="13"/>
      <c r="K28" s="13"/>
      <c r="L28" s="13"/>
      <c r="M28" s="13"/>
      <c r="N28" s="13"/>
      <c r="O28" s="13"/>
      <c r="P28" s="13"/>
      <c r="Q28" s="13"/>
      <c r="R28" s="13"/>
      <c r="S28" s="13"/>
      <c r="T28" s="13"/>
      <c r="U28" s="13"/>
      <c r="V28" s="13"/>
      <c r="W28" s="13"/>
      <c r="X28" s="13"/>
      <c r="Y28" s="13"/>
      <c r="Z28" s="13"/>
    </row>
    <row r="29" ht="15.75" customHeight="1">
      <c r="A29" s="13"/>
      <c r="B29" s="412" t="s">
        <v>80</v>
      </c>
      <c r="C29" s="413"/>
      <c r="D29" s="414">
        <v>0.0</v>
      </c>
      <c r="E29" s="415">
        <v>0.0</v>
      </c>
      <c r="F29" s="86"/>
      <c r="G29" s="87">
        <f t="shared" si="3"/>
        <v>0</v>
      </c>
      <c r="H29" s="88">
        <f>D29/unit_two</f>
        <v>0</v>
      </c>
      <c r="I29" s="89">
        <f t="shared" si="4"/>
        <v>0</v>
      </c>
      <c r="J29" s="13"/>
      <c r="K29" s="13"/>
      <c r="L29" s="13"/>
      <c r="M29" s="13"/>
      <c r="N29" s="13"/>
      <c r="O29" s="13"/>
      <c r="P29" s="13"/>
      <c r="Q29" s="13"/>
      <c r="R29" s="13"/>
      <c r="S29" s="13"/>
      <c r="T29" s="13"/>
      <c r="U29" s="13"/>
      <c r="V29" s="13"/>
      <c r="W29" s="13"/>
      <c r="X29" s="13"/>
      <c r="Y29" s="13"/>
      <c r="Z29" s="13"/>
    </row>
    <row r="30" ht="15.75" customHeight="1">
      <c r="A30" s="13"/>
      <c r="B30" s="15"/>
      <c r="C30" s="90" t="s">
        <v>81</v>
      </c>
      <c r="D30" s="91">
        <f>SUM(D20:D29)</f>
        <v>24384000</v>
      </c>
      <c r="E30" s="92"/>
      <c r="F30" s="90" t="s">
        <v>82</v>
      </c>
      <c r="G30" s="93">
        <f>SUM(G20:G29)</f>
        <v>708572.373</v>
      </c>
      <c r="H30" s="15"/>
      <c r="I30" s="15"/>
      <c r="J30" s="94"/>
      <c r="K30" s="13"/>
      <c r="L30" s="13"/>
      <c r="M30" s="13"/>
      <c r="N30" s="13"/>
      <c r="O30" s="13"/>
      <c r="P30" s="13"/>
      <c r="Q30" s="13"/>
      <c r="R30" s="13"/>
      <c r="S30" s="13"/>
      <c r="T30" s="13"/>
      <c r="U30" s="13"/>
      <c r="V30" s="13"/>
      <c r="W30" s="13"/>
      <c r="X30" s="13"/>
      <c r="Y30" s="13"/>
      <c r="Z30" s="13"/>
    </row>
    <row r="31" ht="15.75" customHeight="1">
      <c r="A31" s="13"/>
      <c r="B31" s="95"/>
      <c r="C31" s="13"/>
      <c r="D31" s="13"/>
      <c r="E31" s="13"/>
      <c r="F31" s="13"/>
      <c r="G31" s="13"/>
      <c r="H31" s="13"/>
      <c r="I31" s="13"/>
      <c r="J31" s="96"/>
      <c r="K31" s="13"/>
      <c r="L31" s="13"/>
      <c r="M31" s="13"/>
      <c r="N31" s="13"/>
      <c r="O31" s="13"/>
      <c r="P31" s="13"/>
      <c r="Q31" s="13"/>
      <c r="R31" s="13"/>
      <c r="S31" s="13"/>
      <c r="T31" s="13"/>
      <c r="U31" s="13"/>
      <c r="V31" s="13"/>
      <c r="W31" s="13"/>
      <c r="X31" s="13"/>
      <c r="Y31" s="13"/>
      <c r="Z31" s="13"/>
    </row>
    <row r="32" ht="15.75" customHeight="1">
      <c r="A32" s="13"/>
      <c r="B32" s="97" t="s">
        <v>83</v>
      </c>
      <c r="C32" s="98">
        <f>noi_two</f>
        <v>1137482.672</v>
      </c>
      <c r="D32" s="13"/>
      <c r="E32" s="13"/>
      <c r="F32" s="13"/>
      <c r="G32" s="13"/>
      <c r="H32" s="13"/>
      <c r="I32" s="13"/>
      <c r="J32" s="96"/>
      <c r="K32" s="13"/>
      <c r="L32" s="13"/>
      <c r="M32" s="13"/>
      <c r="N32" s="13"/>
      <c r="O32" s="13"/>
      <c r="P32" s="13"/>
      <c r="Q32" s="13"/>
      <c r="R32" s="13"/>
      <c r="S32" s="13"/>
      <c r="T32" s="13"/>
      <c r="U32" s="13"/>
      <c r="V32" s="13"/>
      <c r="W32" s="13"/>
      <c r="X32" s="13"/>
      <c r="Y32" s="13"/>
      <c r="Z32" s="13"/>
    </row>
    <row r="33" ht="15.75" customHeight="1">
      <c r="A33" s="13"/>
      <c r="B33" s="99" t="s">
        <v>84</v>
      </c>
      <c r="C33" s="100">
        <f>debtservtotal_two</f>
        <v>708572.373</v>
      </c>
      <c r="D33" s="13"/>
      <c r="E33" s="13"/>
      <c r="F33" s="13"/>
      <c r="G33" s="13"/>
      <c r="H33" s="13"/>
      <c r="I33" s="13"/>
      <c r="J33" s="96"/>
      <c r="K33" s="13"/>
      <c r="L33" s="13"/>
      <c r="M33" s="13"/>
      <c r="N33" s="13"/>
      <c r="O33" s="13"/>
      <c r="P33" s="13"/>
      <c r="Q33" s="13"/>
      <c r="R33" s="13"/>
      <c r="S33" s="13"/>
      <c r="T33" s="13"/>
      <c r="U33" s="13"/>
      <c r="V33" s="13"/>
      <c r="W33" s="13"/>
      <c r="X33" s="13"/>
      <c r="Y33" s="13"/>
      <c r="Z33" s="13"/>
    </row>
    <row r="34" ht="15.75" customHeight="1">
      <c r="A34" s="13"/>
      <c r="B34" s="101" t="s">
        <v>85</v>
      </c>
      <c r="C34" s="102">
        <f>noi_two/debtservtotal_two</f>
        <v>1.605316147</v>
      </c>
      <c r="D34" s="13"/>
      <c r="E34" s="13"/>
      <c r="F34" s="13"/>
      <c r="G34" s="13"/>
      <c r="H34" s="13"/>
      <c r="I34" s="13"/>
      <c r="J34" s="13"/>
      <c r="K34" s="13"/>
      <c r="L34" s="13"/>
      <c r="M34" s="13"/>
      <c r="N34" s="13"/>
      <c r="O34" s="13"/>
      <c r="P34" s="13"/>
      <c r="Q34" s="13"/>
      <c r="R34" s="13"/>
      <c r="S34" s="13"/>
      <c r="T34" s="13"/>
      <c r="U34" s="13"/>
      <c r="V34" s="13"/>
      <c r="W34" s="13"/>
      <c r="X34" s="13"/>
      <c r="Y34" s="13"/>
      <c r="Z34" s="13"/>
    </row>
    <row r="35" ht="15.75" customHeight="1">
      <c r="A35" s="13"/>
      <c r="B35" s="62"/>
      <c r="C35" s="34"/>
      <c r="D35" s="13"/>
      <c r="E35" s="13"/>
      <c r="F35" s="13"/>
      <c r="G35" s="13"/>
      <c r="H35" s="13"/>
      <c r="I35" s="13"/>
      <c r="J35" s="13"/>
      <c r="K35" s="13"/>
      <c r="L35" s="13"/>
      <c r="M35" s="13"/>
      <c r="N35" s="13"/>
      <c r="O35" s="13"/>
      <c r="P35" s="13"/>
      <c r="Q35" s="13"/>
      <c r="R35" s="13"/>
      <c r="S35" s="13"/>
      <c r="T35" s="13"/>
      <c r="U35" s="13"/>
      <c r="V35" s="13"/>
      <c r="W35" s="13"/>
      <c r="X35" s="13"/>
      <c r="Y35" s="13"/>
      <c r="Z35" s="13"/>
    </row>
    <row r="36" ht="15.75" customHeight="1">
      <c r="A36" s="13"/>
      <c r="B36" s="60" t="s">
        <v>46</v>
      </c>
      <c r="C36" s="37"/>
      <c r="D36" s="37"/>
      <c r="E36" s="37"/>
      <c r="F36" s="37"/>
      <c r="G36" s="37"/>
      <c r="H36" s="61"/>
      <c r="I36" s="61"/>
      <c r="J36" s="61"/>
      <c r="K36" s="13"/>
      <c r="L36" s="13"/>
      <c r="M36" s="13"/>
      <c r="N36" s="13"/>
      <c r="O36" s="13"/>
      <c r="P36" s="13"/>
      <c r="Q36" s="13"/>
      <c r="R36" s="13"/>
      <c r="S36" s="13"/>
      <c r="T36" s="13"/>
      <c r="U36" s="13"/>
      <c r="V36" s="13"/>
      <c r="W36" s="13"/>
      <c r="X36" s="13"/>
      <c r="Y36" s="13"/>
      <c r="Z36" s="13"/>
    </row>
    <row r="37" ht="15.75" customHeight="1">
      <c r="A37" s="13"/>
      <c r="B37" s="62"/>
      <c r="C37" s="34"/>
      <c r="D37" s="13"/>
      <c r="E37" s="13"/>
      <c r="F37" s="13"/>
      <c r="G37" s="13"/>
      <c r="H37" s="13"/>
      <c r="I37" s="13"/>
      <c r="J37" s="13"/>
      <c r="K37" s="13"/>
      <c r="L37" s="13"/>
      <c r="M37" s="13"/>
      <c r="N37" s="13"/>
      <c r="O37" s="13"/>
      <c r="P37" s="13"/>
      <c r="Q37" s="13"/>
      <c r="R37" s="13"/>
      <c r="S37" s="13"/>
      <c r="T37" s="13"/>
      <c r="U37" s="13"/>
      <c r="V37" s="13"/>
      <c r="W37" s="13"/>
      <c r="X37" s="13"/>
      <c r="Y37" s="13"/>
      <c r="Z37" s="13"/>
    </row>
    <row r="38" ht="15.75" customHeight="1">
      <c r="A38" s="13"/>
      <c r="B38" s="62"/>
      <c r="C38" s="34"/>
      <c r="D38" s="13"/>
      <c r="E38" s="13"/>
      <c r="F38" s="13"/>
      <c r="G38" s="13"/>
      <c r="H38" s="13"/>
      <c r="I38" s="13"/>
      <c r="J38" s="13"/>
      <c r="K38" s="13"/>
      <c r="L38" s="13"/>
      <c r="M38" s="13"/>
      <c r="N38" s="13"/>
      <c r="O38" s="13"/>
      <c r="P38" s="13"/>
      <c r="Q38" s="13"/>
      <c r="R38" s="13"/>
      <c r="S38" s="13"/>
      <c r="T38" s="13"/>
      <c r="U38" s="13"/>
      <c r="V38" s="13"/>
      <c r="W38" s="13"/>
      <c r="X38" s="13"/>
      <c r="Y38" s="13"/>
      <c r="Z38" s="13"/>
    </row>
    <row r="39" ht="15.75" customHeight="1">
      <c r="A39" s="13"/>
      <c r="B39" s="62"/>
      <c r="C39" s="103" t="s">
        <v>86</v>
      </c>
      <c r="D39" s="103" t="s">
        <v>87</v>
      </c>
      <c r="E39" s="103" t="s">
        <v>88</v>
      </c>
      <c r="F39" s="103" t="s">
        <v>89</v>
      </c>
      <c r="G39" s="103" t="s">
        <v>90</v>
      </c>
      <c r="H39" s="13"/>
      <c r="I39" s="104"/>
      <c r="J39" s="13"/>
      <c r="K39" s="13"/>
      <c r="L39" s="13"/>
      <c r="M39" s="13"/>
      <c r="N39" s="13"/>
      <c r="O39" s="13"/>
      <c r="P39" s="13"/>
      <c r="Q39" s="13"/>
      <c r="R39" s="13"/>
      <c r="S39" s="13"/>
      <c r="T39" s="13"/>
      <c r="U39" s="13"/>
      <c r="V39" s="13"/>
      <c r="W39" s="13"/>
      <c r="X39" s="13"/>
      <c r="Y39" s="13"/>
      <c r="Z39" s="13"/>
    </row>
    <row r="40" ht="15.75" customHeight="1">
      <c r="A40" s="13"/>
      <c r="B40" s="106" t="s">
        <v>91</v>
      </c>
      <c r="C40" s="107"/>
      <c r="D40" s="108"/>
      <c r="E40" s="107"/>
      <c r="F40" s="108"/>
      <c r="G40" s="107"/>
      <c r="H40" s="13"/>
      <c r="I40" s="104"/>
      <c r="J40" s="13"/>
      <c r="K40" s="13"/>
      <c r="L40" s="13"/>
      <c r="M40" s="13"/>
      <c r="N40" s="13"/>
      <c r="O40" s="13"/>
      <c r="P40" s="13"/>
      <c r="Q40" s="13"/>
      <c r="R40" s="13"/>
      <c r="S40" s="13"/>
      <c r="T40" s="13"/>
      <c r="U40" s="13"/>
      <c r="V40" s="13"/>
      <c r="W40" s="13"/>
      <c r="X40" s="13"/>
      <c r="Y40" s="13"/>
      <c r="Z40" s="13"/>
    </row>
    <row r="41" ht="15.75" customHeight="1">
      <c r="A41" s="13"/>
      <c r="B41" s="109" t="s">
        <v>92</v>
      </c>
      <c r="C41" s="110"/>
      <c r="D41" s="111"/>
      <c r="E41" s="111"/>
      <c r="F41" s="111"/>
      <c r="G41" s="111"/>
      <c r="H41" s="13"/>
      <c r="I41" s="13"/>
      <c r="J41" s="13"/>
      <c r="K41" s="13"/>
      <c r="L41" s="13"/>
      <c r="M41" s="13"/>
      <c r="N41" s="13"/>
      <c r="O41" s="13"/>
      <c r="P41" s="13"/>
      <c r="Q41" s="13"/>
      <c r="R41" s="13"/>
      <c r="S41" s="13"/>
      <c r="T41" s="13"/>
      <c r="U41" s="13"/>
      <c r="V41" s="13"/>
      <c r="W41" s="13"/>
      <c r="X41" s="13"/>
      <c r="Y41" s="13"/>
      <c r="Z41" s="13"/>
    </row>
    <row r="42" ht="15.75" customHeight="1">
      <c r="A42" s="13"/>
      <c r="B42" s="112" t="s">
        <v>93</v>
      </c>
      <c r="C42" s="113">
        <v>0.0</v>
      </c>
      <c r="D42" s="114">
        <f>C42/unit_two</f>
        <v>0</v>
      </c>
      <c r="E42" s="115">
        <v>0.0</v>
      </c>
      <c r="F42" s="114">
        <f>E42/unit_two</f>
        <v>0</v>
      </c>
      <c r="G42" s="115">
        <v>0.0</v>
      </c>
      <c r="H42" s="13"/>
      <c r="I42" s="34"/>
      <c r="J42" s="13"/>
      <c r="K42" s="13"/>
      <c r="L42" s="13"/>
      <c r="M42" s="13"/>
      <c r="N42" s="13"/>
      <c r="O42" s="13"/>
      <c r="P42" s="13"/>
      <c r="Q42" s="13"/>
      <c r="R42" s="13"/>
      <c r="S42" s="13"/>
      <c r="T42" s="13"/>
      <c r="U42" s="13"/>
      <c r="V42" s="13"/>
      <c r="W42" s="13"/>
      <c r="X42" s="13"/>
      <c r="Y42" s="13"/>
      <c r="Z42" s="13"/>
    </row>
    <row r="43" ht="15.75" customHeight="1">
      <c r="A43" s="13"/>
      <c r="B43" s="116" t="s">
        <v>94</v>
      </c>
      <c r="C43" s="113">
        <v>0.0</v>
      </c>
      <c r="D43" s="114">
        <f>C43/unit_two</f>
        <v>0</v>
      </c>
      <c r="E43" s="115">
        <v>0.0</v>
      </c>
      <c r="F43" s="114">
        <f>E43/unit_two</f>
        <v>0</v>
      </c>
      <c r="G43" s="115">
        <v>0.0</v>
      </c>
      <c r="H43" s="13"/>
      <c r="I43" s="34"/>
      <c r="J43" s="13"/>
      <c r="K43" s="13"/>
      <c r="L43" s="13"/>
      <c r="M43" s="13"/>
      <c r="N43" s="13"/>
      <c r="O43" s="13"/>
      <c r="P43" s="13"/>
      <c r="Q43" s="13"/>
      <c r="R43" s="13"/>
      <c r="S43" s="13"/>
      <c r="T43" s="13"/>
      <c r="U43" s="13"/>
      <c r="V43" s="13"/>
      <c r="W43" s="13"/>
      <c r="X43" s="13"/>
      <c r="Y43" s="13"/>
      <c r="Z43" s="13"/>
    </row>
    <row r="44" ht="15.75" customHeight="1">
      <c r="A44" s="13"/>
      <c r="B44" s="117" t="s">
        <v>95</v>
      </c>
      <c r="C44" s="118">
        <f>SUM(C42:C43)</f>
        <v>0</v>
      </c>
      <c r="D44" s="119">
        <f>C44/unit_two</f>
        <v>0</v>
      </c>
      <c r="E44" s="119">
        <f>SUM(E42:E43)</f>
        <v>0</v>
      </c>
      <c r="F44" s="119">
        <f>E44/unit_two</f>
        <v>0</v>
      </c>
      <c r="G44" s="119"/>
      <c r="H44" s="13"/>
      <c r="I44" s="13"/>
      <c r="J44" s="13"/>
      <c r="K44" s="13"/>
      <c r="L44" s="13"/>
      <c r="M44" s="13"/>
      <c r="N44" s="13"/>
      <c r="O44" s="13"/>
      <c r="P44" s="13"/>
      <c r="Q44" s="13"/>
      <c r="R44" s="13"/>
      <c r="S44" s="13"/>
      <c r="T44" s="13"/>
      <c r="U44" s="13"/>
      <c r="V44" s="13"/>
      <c r="W44" s="13"/>
      <c r="X44" s="13"/>
      <c r="Y44" s="13"/>
      <c r="Z44" s="13"/>
    </row>
    <row r="45" ht="15.75" customHeight="1">
      <c r="A45" s="13"/>
      <c r="B45" s="120" t="s">
        <v>96</v>
      </c>
      <c r="C45" s="121"/>
      <c r="D45" s="122"/>
      <c r="E45" s="122"/>
      <c r="F45" s="122"/>
      <c r="G45" s="122"/>
      <c r="H45" s="13"/>
      <c r="I45" s="13"/>
      <c r="J45" s="13"/>
      <c r="K45" s="13"/>
      <c r="L45" s="13"/>
      <c r="M45" s="13"/>
      <c r="N45" s="13"/>
      <c r="O45" s="13"/>
      <c r="P45" s="13"/>
      <c r="Q45" s="13"/>
      <c r="R45" s="13"/>
      <c r="S45" s="13"/>
      <c r="T45" s="13"/>
      <c r="U45" s="13"/>
      <c r="V45" s="13"/>
      <c r="W45" s="13"/>
      <c r="X45" s="13"/>
      <c r="Y45" s="13"/>
      <c r="Z45" s="13"/>
    </row>
    <row r="46" ht="15.75" customHeight="1">
      <c r="A46" s="13"/>
      <c r="B46" s="112" t="s">
        <v>542</v>
      </c>
      <c r="C46" s="113">
        <f>'Assumptions (P2)'!D98*'Assumptions (P2)'!D99*'Assumptions (P2)'!D100</f>
        <v>576000</v>
      </c>
      <c r="D46" s="114">
        <f>C46/unit_two</f>
        <v>4500</v>
      </c>
      <c r="E46" s="115">
        <v>0.0</v>
      </c>
      <c r="F46" s="114">
        <f>E46/unit_two</f>
        <v>0</v>
      </c>
      <c r="G46" s="115">
        <f t="shared" ref="G46:G49" si="5">C46</f>
        <v>576000</v>
      </c>
      <c r="H46" s="13"/>
      <c r="I46" s="104"/>
      <c r="J46" s="13"/>
      <c r="K46" s="13"/>
      <c r="L46" s="13"/>
      <c r="M46" s="13"/>
      <c r="N46" s="13"/>
      <c r="O46" s="13"/>
      <c r="P46" s="13"/>
      <c r="Q46" s="13"/>
      <c r="R46" s="13"/>
      <c r="S46" s="13"/>
      <c r="T46" s="13"/>
      <c r="U46" s="13"/>
      <c r="V46" s="13"/>
      <c r="W46" s="13"/>
      <c r="X46" s="13"/>
      <c r="Y46" s="13"/>
      <c r="Z46" s="13"/>
    </row>
    <row r="47" ht="15.75" customHeight="1">
      <c r="A47" s="13"/>
      <c r="B47" s="112" t="s">
        <v>97</v>
      </c>
      <c r="C47" s="113">
        <f>'Assumptions (P2)'!D101*(1+'Assumptions (P2)'!D103+'Assumptions (P2)'!D102)*(1-'Assumptions (P2)'!D104)*unit_two</f>
        <v>22370013.95</v>
      </c>
      <c r="D47" s="114">
        <f>C47/unit_two</f>
        <v>174765.734</v>
      </c>
      <c r="E47" s="115">
        <v>0.0</v>
      </c>
      <c r="F47" s="114">
        <f>E47/unit_two</f>
        <v>0</v>
      </c>
      <c r="G47" s="115">
        <f t="shared" si="5"/>
        <v>22370013.95</v>
      </c>
      <c r="H47" s="13"/>
      <c r="I47" s="104"/>
      <c r="J47" s="13"/>
      <c r="K47" s="13"/>
      <c r="L47" s="13"/>
      <c r="M47" s="13"/>
      <c r="N47" s="13"/>
      <c r="O47" s="13"/>
      <c r="P47" s="13"/>
      <c r="Q47" s="13"/>
      <c r="R47" s="13"/>
      <c r="S47" s="13"/>
      <c r="T47" s="13"/>
      <c r="U47" s="13"/>
      <c r="V47" s="13"/>
      <c r="W47" s="13"/>
      <c r="X47" s="13"/>
      <c r="Y47" s="13"/>
      <c r="Z47" s="13"/>
    </row>
    <row r="48" ht="15.75" customHeight="1">
      <c r="A48" s="13"/>
      <c r="B48" s="112" t="s">
        <v>98</v>
      </c>
      <c r="C48" s="113">
        <f>'Assumptions (P2)'!D105*SUM(C46:C47)</f>
        <v>1147300.697</v>
      </c>
      <c r="D48" s="114">
        <f>C48/unit_two</f>
        <v>8963.286698</v>
      </c>
      <c r="E48" s="115">
        <v>0.0</v>
      </c>
      <c r="F48" s="114">
        <f>E48/unit_two</f>
        <v>0</v>
      </c>
      <c r="G48" s="115">
        <f t="shared" si="5"/>
        <v>1147300.697</v>
      </c>
      <c r="H48" s="13"/>
      <c r="I48" s="104"/>
      <c r="J48" s="13"/>
      <c r="K48" s="13"/>
      <c r="L48" s="13"/>
      <c r="M48" s="13"/>
      <c r="N48" s="13"/>
      <c r="O48" s="13"/>
      <c r="P48" s="13"/>
      <c r="Q48" s="13"/>
      <c r="R48" s="13"/>
      <c r="S48" s="13"/>
      <c r="T48" s="13"/>
      <c r="U48" s="13"/>
      <c r="V48" s="13"/>
      <c r="W48" s="13"/>
      <c r="X48" s="13"/>
      <c r="Y48" s="13"/>
      <c r="Z48" s="13"/>
    </row>
    <row r="49" ht="15.75" customHeight="1">
      <c r="A49" s="13"/>
      <c r="B49" s="112" t="s">
        <v>99</v>
      </c>
      <c r="C49" s="113">
        <f>SUM(C46:C47)*('Assumptions (P2)'!D106+'Assumptions (P2)'!D107)</f>
        <v>1606220.976</v>
      </c>
      <c r="D49" s="114">
        <f>C49/unit_two</f>
        <v>12548.60138</v>
      </c>
      <c r="E49" s="115">
        <v>0.0</v>
      </c>
      <c r="F49" s="114">
        <f>E49/unit_two</f>
        <v>0</v>
      </c>
      <c r="G49" s="115">
        <f t="shared" si="5"/>
        <v>1606220.976</v>
      </c>
      <c r="H49" s="13"/>
      <c r="I49" s="104"/>
      <c r="J49" s="13"/>
      <c r="K49" s="13"/>
      <c r="L49" s="13"/>
      <c r="M49" s="13"/>
      <c r="N49" s="13"/>
      <c r="O49" s="13"/>
      <c r="P49" s="13"/>
      <c r="Q49" s="13"/>
      <c r="R49" s="13"/>
      <c r="S49" s="13"/>
      <c r="T49" s="13"/>
      <c r="U49" s="13"/>
      <c r="V49" s="13"/>
      <c r="W49" s="13"/>
      <c r="X49" s="13"/>
      <c r="Y49" s="13"/>
      <c r="Z49" s="13"/>
    </row>
    <row r="50" ht="15.75" customHeight="1">
      <c r="A50" s="13"/>
      <c r="B50" s="112" t="s">
        <v>100</v>
      </c>
      <c r="C50" s="113">
        <f>SUM(C46:C47)*'Assumptions (P2)'!D109</f>
        <v>688380.4184</v>
      </c>
      <c r="D50" s="114">
        <f>C50/unit_two</f>
        <v>5377.972019</v>
      </c>
      <c r="E50" s="115">
        <v>0.0</v>
      </c>
      <c r="F50" s="114">
        <f>E50/unit_two</f>
        <v>0</v>
      </c>
      <c r="G50" s="115">
        <v>0.0</v>
      </c>
      <c r="H50" s="13"/>
      <c r="I50" s="104"/>
      <c r="J50" s="95"/>
      <c r="K50" s="13"/>
      <c r="L50" s="13"/>
      <c r="M50" s="13"/>
      <c r="N50" s="13"/>
      <c r="O50" s="13"/>
      <c r="P50" s="13"/>
      <c r="Q50" s="13"/>
      <c r="R50" s="13"/>
      <c r="S50" s="13"/>
      <c r="T50" s="13"/>
      <c r="U50" s="13"/>
      <c r="V50" s="13"/>
      <c r="W50" s="13"/>
      <c r="X50" s="13"/>
      <c r="Y50" s="13"/>
      <c r="Z50" s="13"/>
    </row>
    <row r="51" ht="15.75" customHeight="1">
      <c r="A51" s="13"/>
      <c r="B51" s="112" t="s">
        <v>101</v>
      </c>
      <c r="C51" s="113">
        <f>'Assumptions (P2)'!D117</f>
        <v>739373.3333</v>
      </c>
      <c r="D51" s="114">
        <f>C51/unit_two</f>
        <v>5776.354167</v>
      </c>
      <c r="E51" s="115">
        <v>0.0</v>
      </c>
      <c r="F51" s="114">
        <f>E51/unit_two</f>
        <v>0</v>
      </c>
      <c r="G51" s="115">
        <v>0.0</v>
      </c>
      <c r="H51" s="13"/>
      <c r="I51" s="104"/>
      <c r="J51" s="95"/>
      <c r="K51" s="13"/>
      <c r="L51" s="13"/>
      <c r="M51" s="13"/>
      <c r="N51" s="13"/>
      <c r="O51" s="13"/>
      <c r="P51" s="13"/>
      <c r="Q51" s="13"/>
      <c r="R51" s="13"/>
      <c r="S51" s="13"/>
      <c r="T51" s="13"/>
      <c r="U51" s="13"/>
      <c r="V51" s="13"/>
      <c r="W51" s="13"/>
      <c r="X51" s="13"/>
      <c r="Y51" s="13"/>
      <c r="Z51" s="13"/>
    </row>
    <row r="52" ht="15.75" customHeight="1">
      <c r="A52" s="13"/>
      <c r="B52" s="116" t="s">
        <v>102</v>
      </c>
      <c r="C52" s="125">
        <v>0.0</v>
      </c>
      <c r="D52" s="114">
        <f>C52/unit_two</f>
        <v>0</v>
      </c>
      <c r="E52" s="126">
        <v>0.0</v>
      </c>
      <c r="F52" s="114">
        <f>E52/unit_two</f>
        <v>0</v>
      </c>
      <c r="G52" s="115">
        <f>C52</f>
        <v>0</v>
      </c>
      <c r="H52" s="13"/>
      <c r="I52" s="104"/>
      <c r="J52" s="95"/>
      <c r="K52" s="13"/>
      <c r="L52" s="13"/>
      <c r="M52" s="13"/>
      <c r="N52" s="13"/>
      <c r="O52" s="13"/>
      <c r="P52" s="13"/>
      <c r="Q52" s="13"/>
      <c r="R52" s="13"/>
      <c r="S52" s="13"/>
      <c r="T52" s="13"/>
      <c r="U52" s="13"/>
      <c r="V52" s="13"/>
      <c r="W52" s="13"/>
      <c r="X52" s="13"/>
      <c r="Y52" s="13"/>
      <c r="Z52" s="13"/>
    </row>
    <row r="53" ht="15.75" customHeight="1">
      <c r="A53" s="13"/>
      <c r="B53" s="117" t="s">
        <v>95</v>
      </c>
      <c r="C53" s="118">
        <f>SUM(C46:C52)</f>
        <v>27127289.37</v>
      </c>
      <c r="D53" s="118">
        <f>C53/unit_two</f>
        <v>211931.9482</v>
      </c>
      <c r="E53" s="118">
        <f>SUM(E46:E52)</f>
        <v>0</v>
      </c>
      <c r="F53" s="118">
        <f>E53/unit_two</f>
        <v>0</v>
      </c>
      <c r="G53" s="118">
        <f>SUM(G46:G52)</f>
        <v>25699535.62</v>
      </c>
      <c r="H53" s="13"/>
      <c r="I53" s="13"/>
      <c r="J53" s="13"/>
      <c r="K53" s="13"/>
      <c r="L53" s="13"/>
      <c r="M53" s="13"/>
      <c r="N53" s="13"/>
      <c r="O53" s="13"/>
      <c r="P53" s="13"/>
      <c r="Q53" s="13"/>
      <c r="R53" s="13"/>
      <c r="S53" s="13"/>
      <c r="T53" s="13"/>
      <c r="U53" s="13"/>
      <c r="V53" s="13"/>
      <c r="W53" s="13"/>
      <c r="X53" s="13"/>
      <c r="Y53" s="13"/>
      <c r="Z53" s="13"/>
    </row>
    <row r="54" ht="15.75" customHeight="1">
      <c r="A54" s="13"/>
      <c r="B54" s="127" t="s">
        <v>103</v>
      </c>
      <c r="C54" s="128">
        <f>C44+C53</f>
        <v>27127289.37</v>
      </c>
      <c r="D54" s="128">
        <f>C54/unit_two</f>
        <v>211931.9482</v>
      </c>
      <c r="E54" s="128">
        <f>E44+E53</f>
        <v>0</v>
      </c>
      <c r="F54" s="128">
        <f>E54/unit_two</f>
        <v>0</v>
      </c>
      <c r="G54" s="128">
        <f>G44+G53</f>
        <v>25699535.62</v>
      </c>
      <c r="H54" s="13"/>
      <c r="I54" s="13"/>
      <c r="J54" s="13"/>
      <c r="K54" s="13"/>
      <c r="L54" s="13"/>
      <c r="M54" s="13"/>
      <c r="N54" s="13"/>
      <c r="O54" s="13"/>
      <c r="P54" s="13"/>
      <c r="Q54" s="13"/>
      <c r="R54" s="13"/>
      <c r="S54" s="13"/>
      <c r="T54" s="13"/>
      <c r="U54" s="13"/>
      <c r="V54" s="13"/>
      <c r="W54" s="13"/>
      <c r="X54" s="13"/>
      <c r="Y54" s="13"/>
      <c r="Z54" s="13"/>
    </row>
    <row r="55" ht="15.75" customHeight="1">
      <c r="A55" s="13"/>
      <c r="B55" s="129"/>
      <c r="C55" s="130"/>
      <c r="D55" s="130"/>
      <c r="E55" s="130"/>
      <c r="F55" s="130"/>
      <c r="G55" s="130"/>
      <c r="H55" s="13"/>
      <c r="I55" s="13"/>
      <c r="J55" s="13"/>
      <c r="K55" s="13"/>
      <c r="L55" s="13"/>
      <c r="M55" s="13"/>
      <c r="N55" s="13"/>
      <c r="O55" s="13"/>
      <c r="P55" s="13"/>
      <c r="Q55" s="13"/>
      <c r="R55" s="13"/>
      <c r="S55" s="13"/>
      <c r="T55" s="13"/>
      <c r="U55" s="13"/>
      <c r="V55" s="13"/>
      <c r="W55" s="13"/>
      <c r="X55" s="13"/>
      <c r="Y55" s="13"/>
      <c r="Z55" s="13"/>
    </row>
    <row r="56" ht="15.75" customHeight="1">
      <c r="A56" s="13"/>
      <c r="B56" s="106" t="s">
        <v>104</v>
      </c>
      <c r="C56" s="107"/>
      <c r="D56" s="108"/>
      <c r="E56" s="107"/>
      <c r="F56" s="108"/>
      <c r="G56" s="107"/>
      <c r="H56" s="13"/>
      <c r="I56" s="13"/>
      <c r="J56" s="13"/>
      <c r="K56" s="13"/>
      <c r="L56" s="13"/>
      <c r="M56" s="13"/>
      <c r="N56" s="13"/>
      <c r="O56" s="13"/>
      <c r="P56" s="13"/>
      <c r="Q56" s="13"/>
      <c r="R56" s="13"/>
      <c r="S56" s="13"/>
      <c r="T56" s="13"/>
      <c r="U56" s="13"/>
      <c r="V56" s="13"/>
      <c r="W56" s="13"/>
      <c r="X56" s="13"/>
      <c r="Y56" s="13"/>
      <c r="Z56" s="13"/>
    </row>
    <row r="57" ht="15.75" customHeight="1">
      <c r="A57" s="13"/>
      <c r="B57" s="120" t="s">
        <v>105</v>
      </c>
      <c r="C57" s="121"/>
      <c r="D57" s="122"/>
      <c r="E57" s="122"/>
      <c r="F57" s="122"/>
      <c r="G57" s="122"/>
      <c r="H57" s="13"/>
      <c r="I57" s="13"/>
      <c r="J57" s="13"/>
      <c r="K57" s="13"/>
      <c r="L57" s="13"/>
      <c r="M57" s="13"/>
      <c r="N57" s="13"/>
      <c r="O57" s="13"/>
      <c r="P57" s="13"/>
      <c r="Q57" s="13"/>
      <c r="R57" s="13"/>
      <c r="S57" s="13"/>
      <c r="T57" s="13"/>
      <c r="U57" s="13"/>
      <c r="V57" s="13"/>
      <c r="W57" s="13"/>
      <c r="X57" s="13"/>
      <c r="Y57" s="13"/>
      <c r="Z57" s="13"/>
    </row>
    <row r="58" ht="15.75" customHeight="1">
      <c r="A58" s="13"/>
      <c r="B58" s="112" t="s">
        <v>106</v>
      </c>
      <c r="C58" s="113">
        <f>C53*'Assumptions (P2)'!D125</f>
        <v>276115.9446</v>
      </c>
      <c r="D58" s="114">
        <f>C58/unit_two</f>
        <v>2157.155817</v>
      </c>
      <c r="E58" s="115">
        <v>0.0</v>
      </c>
      <c r="F58" s="114">
        <f>E58/unit_two</f>
        <v>0</v>
      </c>
      <c r="G58" s="115">
        <f t="shared" ref="G58:G63" si="6">C58</f>
        <v>276115.9446</v>
      </c>
      <c r="H58" s="13"/>
      <c r="I58" s="104"/>
      <c r="J58" s="13"/>
      <c r="K58" s="13"/>
      <c r="L58" s="13"/>
      <c r="M58" s="13"/>
      <c r="N58" s="13"/>
      <c r="O58" s="13"/>
      <c r="P58" s="13"/>
      <c r="Q58" s="13"/>
      <c r="R58" s="13"/>
      <c r="S58" s="13"/>
      <c r="T58" s="13"/>
      <c r="U58" s="13"/>
      <c r="V58" s="13"/>
      <c r="W58" s="13"/>
      <c r="X58" s="13"/>
      <c r="Y58" s="13"/>
      <c r="Z58" s="13"/>
    </row>
    <row r="59" ht="15.75" customHeight="1">
      <c r="A59" s="13"/>
      <c r="B59" s="112" t="s">
        <v>107</v>
      </c>
      <c r="C59" s="113">
        <f>C53*'Assumptions (P2)'!D126</f>
        <v>56403.79924</v>
      </c>
      <c r="D59" s="114">
        <f>C59/unit_two</f>
        <v>440.6546815</v>
      </c>
      <c r="E59" s="115">
        <v>0.0</v>
      </c>
      <c r="F59" s="114">
        <f>E59/unit_two</f>
        <v>0</v>
      </c>
      <c r="G59" s="115">
        <f t="shared" si="6"/>
        <v>56403.79924</v>
      </c>
      <c r="H59" s="13"/>
      <c r="I59" s="104"/>
      <c r="J59" s="13"/>
      <c r="K59" s="13"/>
      <c r="L59" s="13"/>
      <c r="M59" s="13"/>
      <c r="N59" s="13"/>
      <c r="O59" s="13"/>
      <c r="P59" s="13"/>
      <c r="Q59" s="13"/>
      <c r="R59" s="13"/>
      <c r="S59" s="13"/>
      <c r="T59" s="13"/>
      <c r="U59" s="13"/>
      <c r="V59" s="13"/>
      <c r="W59" s="13"/>
      <c r="X59" s="13"/>
      <c r="Y59" s="13"/>
      <c r="Z59" s="13"/>
    </row>
    <row r="60" ht="15.75" customHeight="1">
      <c r="A60" s="13"/>
      <c r="B60" s="112" t="s">
        <v>108</v>
      </c>
      <c r="C60" s="113">
        <f>C53*'Assumptions (P2)'!D127</f>
        <v>76203.70703</v>
      </c>
      <c r="D60" s="114">
        <f>C60/unit_two</f>
        <v>595.3414612</v>
      </c>
      <c r="E60" s="115">
        <v>0.0</v>
      </c>
      <c r="F60" s="114">
        <f>E60/unit_two</f>
        <v>0</v>
      </c>
      <c r="G60" s="115">
        <f t="shared" si="6"/>
        <v>76203.70703</v>
      </c>
      <c r="H60" s="13"/>
      <c r="I60" s="104"/>
      <c r="J60" s="13"/>
      <c r="K60" s="13"/>
      <c r="L60" s="13"/>
      <c r="M60" s="13"/>
      <c r="N60" s="13"/>
      <c r="O60" s="13"/>
      <c r="P60" s="13"/>
      <c r="Q60" s="13"/>
      <c r="R60" s="13"/>
      <c r="S60" s="13"/>
      <c r="T60" s="13"/>
      <c r="U60" s="13"/>
      <c r="V60" s="13"/>
      <c r="W60" s="13"/>
      <c r="X60" s="13"/>
      <c r="Y60" s="13"/>
      <c r="Z60" s="13"/>
    </row>
    <row r="61" ht="15.75" customHeight="1">
      <c r="A61" s="13"/>
      <c r="B61" s="112" t="s">
        <v>102</v>
      </c>
      <c r="C61" s="113">
        <v>0.0</v>
      </c>
      <c r="D61" s="114">
        <f>C61/unit_two</f>
        <v>0</v>
      </c>
      <c r="E61" s="115">
        <v>0.0</v>
      </c>
      <c r="F61" s="114">
        <f>E61/unit_two</f>
        <v>0</v>
      </c>
      <c r="G61" s="115">
        <f t="shared" si="6"/>
        <v>0</v>
      </c>
      <c r="H61" s="13"/>
      <c r="I61" s="104"/>
      <c r="J61" s="95"/>
      <c r="K61" s="13"/>
      <c r="L61" s="13"/>
      <c r="M61" s="13"/>
      <c r="N61" s="13"/>
      <c r="O61" s="13"/>
      <c r="P61" s="13"/>
      <c r="Q61" s="13"/>
      <c r="R61" s="13"/>
      <c r="S61" s="13"/>
      <c r="T61" s="13"/>
      <c r="U61" s="13"/>
      <c r="V61" s="13"/>
      <c r="W61" s="13"/>
      <c r="X61" s="13"/>
      <c r="Y61" s="13"/>
      <c r="Z61" s="13"/>
    </row>
    <row r="62" ht="15.75" customHeight="1">
      <c r="A62" s="13"/>
      <c r="B62" s="112" t="s">
        <v>102</v>
      </c>
      <c r="C62" s="113">
        <v>0.0</v>
      </c>
      <c r="D62" s="114">
        <f>C62/unit_two</f>
        <v>0</v>
      </c>
      <c r="E62" s="115">
        <v>0.0</v>
      </c>
      <c r="F62" s="114">
        <f>E62/unit_two</f>
        <v>0</v>
      </c>
      <c r="G62" s="115">
        <f t="shared" si="6"/>
        <v>0</v>
      </c>
      <c r="H62" s="13"/>
      <c r="I62" s="104"/>
      <c r="J62" s="95"/>
      <c r="K62" s="13"/>
      <c r="L62" s="13"/>
      <c r="M62" s="13"/>
      <c r="N62" s="13"/>
      <c r="O62" s="13"/>
      <c r="P62" s="13"/>
      <c r="Q62" s="13"/>
      <c r="R62" s="13"/>
      <c r="S62" s="13"/>
      <c r="T62" s="13"/>
      <c r="U62" s="13"/>
      <c r="V62" s="13"/>
      <c r="W62" s="13"/>
      <c r="X62" s="13"/>
      <c r="Y62" s="13"/>
      <c r="Z62" s="13"/>
    </row>
    <row r="63" ht="15.75" customHeight="1">
      <c r="A63" s="13"/>
      <c r="B63" s="116" t="s">
        <v>102</v>
      </c>
      <c r="C63" s="125">
        <v>0.0</v>
      </c>
      <c r="D63" s="114">
        <f>C63/unit_two</f>
        <v>0</v>
      </c>
      <c r="E63" s="126">
        <v>0.0</v>
      </c>
      <c r="F63" s="114">
        <f>E63/unit_two</f>
        <v>0</v>
      </c>
      <c r="G63" s="115">
        <f t="shared" si="6"/>
        <v>0</v>
      </c>
      <c r="H63" s="13"/>
      <c r="I63" s="104"/>
      <c r="J63" s="95"/>
      <c r="K63" s="13"/>
      <c r="L63" s="13"/>
      <c r="M63" s="13"/>
      <c r="N63" s="13"/>
      <c r="O63" s="13"/>
      <c r="P63" s="13"/>
      <c r="Q63" s="13"/>
      <c r="R63" s="13"/>
      <c r="S63" s="13"/>
      <c r="T63" s="13"/>
      <c r="U63" s="13"/>
      <c r="V63" s="13"/>
      <c r="W63" s="13"/>
      <c r="X63" s="13"/>
      <c r="Y63" s="13"/>
      <c r="Z63" s="13"/>
    </row>
    <row r="64" ht="15.75" customHeight="1">
      <c r="A64" s="13"/>
      <c r="B64" s="117" t="s">
        <v>95</v>
      </c>
      <c r="C64" s="118">
        <f>SUM(C57:C63)</f>
        <v>408723.4509</v>
      </c>
      <c r="D64" s="118">
        <f>C64/unit_two</f>
        <v>3193.15196</v>
      </c>
      <c r="E64" s="118">
        <f>SUM(E57:E63)</f>
        <v>0</v>
      </c>
      <c r="F64" s="118">
        <f>E64/unit_two</f>
        <v>0</v>
      </c>
      <c r="G64" s="118">
        <f>SUM(G57:G63)</f>
        <v>408723.4509</v>
      </c>
      <c r="H64" s="13"/>
      <c r="I64" s="13"/>
      <c r="J64" s="13"/>
      <c r="K64" s="13"/>
      <c r="L64" s="13"/>
      <c r="M64" s="13"/>
      <c r="N64" s="13"/>
      <c r="O64" s="13"/>
      <c r="P64" s="13"/>
      <c r="Q64" s="13"/>
      <c r="R64" s="13"/>
      <c r="S64" s="13"/>
      <c r="T64" s="13"/>
      <c r="U64" s="13"/>
      <c r="V64" s="13"/>
      <c r="W64" s="13"/>
      <c r="X64" s="13"/>
      <c r="Y64" s="13"/>
      <c r="Z64" s="13"/>
    </row>
    <row r="65" ht="15.75" customHeight="1">
      <c r="A65" s="13"/>
      <c r="B65" s="120" t="s">
        <v>543</v>
      </c>
      <c r="C65" s="132"/>
      <c r="D65" s="133"/>
      <c r="E65" s="133"/>
      <c r="F65" s="133"/>
      <c r="G65" s="133"/>
      <c r="H65" s="13"/>
      <c r="I65" s="13"/>
      <c r="J65" s="13"/>
      <c r="K65" s="13"/>
      <c r="L65" s="13"/>
      <c r="M65" s="13"/>
      <c r="N65" s="13"/>
      <c r="O65" s="13"/>
      <c r="P65" s="13"/>
      <c r="Q65" s="13"/>
      <c r="R65" s="13"/>
      <c r="S65" s="13"/>
      <c r="T65" s="13"/>
      <c r="U65" s="13"/>
      <c r="V65" s="13"/>
      <c r="W65" s="13"/>
      <c r="X65" s="13"/>
      <c r="Y65" s="13"/>
      <c r="Z65" s="13"/>
    </row>
    <row r="66" ht="15.75" customHeight="1">
      <c r="A66" s="13"/>
      <c r="B66" s="134" t="s">
        <v>110</v>
      </c>
      <c r="C66" s="135">
        <f>'Loan Sizing (P2)'!D53</f>
        <v>3903.159446</v>
      </c>
      <c r="D66" s="136">
        <f>C66/unit_two</f>
        <v>30.49343317</v>
      </c>
      <c r="E66" s="115">
        <v>0.0</v>
      </c>
      <c r="F66" s="136">
        <v>0.0</v>
      </c>
      <c r="G66" s="115">
        <f t="shared" ref="G66:G67" si="7">C66</f>
        <v>3903.159446</v>
      </c>
      <c r="H66" s="13"/>
      <c r="I66" s="13"/>
      <c r="J66" s="13"/>
      <c r="K66" s="13"/>
      <c r="L66" s="13"/>
      <c r="M66" s="13"/>
      <c r="N66" s="13"/>
      <c r="O66" s="13"/>
      <c r="P66" s="13"/>
      <c r="Q66" s="13"/>
      <c r="R66" s="13"/>
      <c r="S66" s="13"/>
      <c r="T66" s="13"/>
      <c r="U66" s="13"/>
      <c r="V66" s="13"/>
      <c r="W66" s="13"/>
      <c r="X66" s="13"/>
      <c r="Y66" s="13"/>
      <c r="Z66" s="13"/>
    </row>
    <row r="67" ht="15.75" customHeight="1">
      <c r="A67" s="13"/>
      <c r="B67" s="134" t="s">
        <v>111</v>
      </c>
      <c r="C67" s="113">
        <f>'Loan Sizing (P2)'!D50</f>
        <v>19515.79723</v>
      </c>
      <c r="D67" s="136">
        <f>C67/unit_two</f>
        <v>152.4671659</v>
      </c>
      <c r="E67" s="115">
        <v>0.0</v>
      </c>
      <c r="F67" s="136">
        <v>0.0</v>
      </c>
      <c r="G67" s="115">
        <f t="shared" si="7"/>
        <v>19515.79723</v>
      </c>
      <c r="H67" s="13"/>
      <c r="I67" s="13"/>
      <c r="J67" s="13"/>
      <c r="K67" s="13"/>
      <c r="L67" s="13"/>
      <c r="M67" s="13"/>
      <c r="N67" s="13"/>
      <c r="O67" s="13"/>
      <c r="P67" s="13"/>
      <c r="Q67" s="13"/>
      <c r="R67" s="13"/>
      <c r="S67" s="13"/>
      <c r="T67" s="13"/>
      <c r="U67" s="13"/>
      <c r="V67" s="13"/>
      <c r="W67" s="13"/>
      <c r="X67" s="13"/>
      <c r="Y67" s="13"/>
      <c r="Z67" s="13"/>
    </row>
    <row r="68" ht="15.75" customHeight="1">
      <c r="A68" s="13"/>
      <c r="B68" s="120" t="s">
        <v>112</v>
      </c>
      <c r="C68" s="121"/>
      <c r="D68" s="137"/>
      <c r="E68" s="122"/>
      <c r="F68" s="137"/>
      <c r="G68" s="122"/>
      <c r="H68" s="13"/>
      <c r="I68" s="13"/>
      <c r="J68" s="13"/>
      <c r="K68" s="13"/>
      <c r="L68" s="13"/>
      <c r="M68" s="13"/>
      <c r="N68" s="13"/>
      <c r="O68" s="13"/>
      <c r="P68" s="13"/>
      <c r="Q68" s="13"/>
      <c r="R68" s="13"/>
      <c r="S68" s="13"/>
      <c r="T68" s="13"/>
      <c r="U68" s="13"/>
      <c r="V68" s="13"/>
      <c r="W68" s="13"/>
      <c r="X68" s="13"/>
      <c r="Y68" s="13"/>
      <c r="Z68" s="13"/>
    </row>
    <row r="69" ht="15.75" customHeight="1">
      <c r="A69" s="13"/>
      <c r="B69" s="112" t="s">
        <v>113</v>
      </c>
      <c r="C69" s="113">
        <f>'Loan Sizing (P2)'!D25*'Assumptions (P2)'!D130</f>
        <v>247824.1154</v>
      </c>
      <c r="D69" s="114">
        <f>C69/unit_two</f>
        <v>1936.125902</v>
      </c>
      <c r="E69" s="115">
        <v>0.0</v>
      </c>
      <c r="F69" s="114">
        <f>E69/unit_two</f>
        <v>0</v>
      </c>
      <c r="G69" s="115">
        <f t="shared" ref="G69:G77" si="8">C69</f>
        <v>247824.1154</v>
      </c>
      <c r="H69" s="13"/>
      <c r="I69" s="104"/>
      <c r="J69" s="13"/>
      <c r="K69" s="13"/>
      <c r="L69" s="13"/>
      <c r="M69" s="13"/>
      <c r="N69" s="13"/>
      <c r="O69" s="13"/>
      <c r="P69" s="13"/>
      <c r="Q69" s="13"/>
      <c r="R69" s="13"/>
      <c r="S69" s="13"/>
      <c r="T69" s="13"/>
      <c r="U69" s="13"/>
      <c r="V69" s="13"/>
      <c r="W69" s="13"/>
      <c r="X69" s="13"/>
      <c r="Y69" s="13"/>
      <c r="Z69" s="13"/>
    </row>
    <row r="70" ht="15.75" customHeight="1">
      <c r="A70" s="13"/>
      <c r="B70" s="112" t="s">
        <v>114</v>
      </c>
      <c r="C70" s="113">
        <f>'Assumptions (P2)'!D131</f>
        <v>3591356.285</v>
      </c>
      <c r="D70" s="114">
        <f>C70/unit_two</f>
        <v>28057.47098</v>
      </c>
      <c r="E70" s="115">
        <v>0.0</v>
      </c>
      <c r="F70" s="114">
        <f>E70/unit_two</f>
        <v>0</v>
      </c>
      <c r="G70" s="115">
        <f t="shared" si="8"/>
        <v>3591356.285</v>
      </c>
      <c r="H70" s="13"/>
      <c r="I70" s="104"/>
      <c r="J70" s="13"/>
      <c r="K70" s="13"/>
      <c r="L70" s="13"/>
      <c r="M70" s="13"/>
      <c r="N70" s="13"/>
      <c r="O70" s="13"/>
      <c r="P70" s="13"/>
      <c r="Q70" s="13"/>
      <c r="R70" s="13"/>
      <c r="S70" s="13"/>
      <c r="T70" s="13"/>
      <c r="U70" s="13"/>
      <c r="V70" s="13"/>
      <c r="W70" s="13"/>
      <c r="X70" s="13"/>
      <c r="Y70" s="13"/>
      <c r="Z70" s="13"/>
    </row>
    <row r="71" ht="15.75" customHeight="1">
      <c r="A71" s="13"/>
      <c r="B71" s="112" t="s">
        <v>115</v>
      </c>
      <c r="C71" s="113">
        <f>'Assumptions (P2)'!D132*'Sources &amp; Uses (P2)'!$C$53</f>
        <v>90240.47056</v>
      </c>
      <c r="D71" s="114">
        <f>C71/unit_two</f>
        <v>705.0036763</v>
      </c>
      <c r="E71" s="115">
        <v>0.0</v>
      </c>
      <c r="F71" s="114">
        <f>E71/unit_two</f>
        <v>0</v>
      </c>
      <c r="G71" s="115">
        <f t="shared" si="8"/>
        <v>90240.47056</v>
      </c>
      <c r="H71" s="13"/>
      <c r="I71" s="104"/>
      <c r="J71" s="13"/>
      <c r="K71" s="13"/>
      <c r="L71" s="13"/>
      <c r="M71" s="13"/>
      <c r="N71" s="13"/>
      <c r="O71" s="13"/>
      <c r="P71" s="13"/>
      <c r="Q71" s="13"/>
      <c r="R71" s="13"/>
      <c r="S71" s="13"/>
      <c r="T71" s="13"/>
      <c r="U71" s="13"/>
      <c r="V71" s="13"/>
      <c r="W71" s="13"/>
      <c r="X71" s="13"/>
      <c r="Y71" s="13"/>
      <c r="Z71" s="13"/>
    </row>
    <row r="72" ht="15.75" customHeight="1">
      <c r="A72" s="13"/>
      <c r="B72" s="112" t="s">
        <v>117</v>
      </c>
      <c r="C72" s="113">
        <f>'Assumptions (P2)'!D134</f>
        <v>75000</v>
      </c>
      <c r="D72" s="114">
        <f>C72/unit_two</f>
        <v>585.9375</v>
      </c>
      <c r="E72" s="115">
        <v>0.0</v>
      </c>
      <c r="F72" s="114">
        <f>E72/unit_two</f>
        <v>0</v>
      </c>
      <c r="G72" s="115">
        <f t="shared" si="8"/>
        <v>75000</v>
      </c>
      <c r="H72" s="13"/>
      <c r="I72" s="104"/>
      <c r="J72" s="13"/>
      <c r="K72" s="13"/>
      <c r="L72" s="13"/>
      <c r="M72" s="13"/>
      <c r="N72" s="13"/>
      <c r="O72" s="13"/>
      <c r="P72" s="13"/>
      <c r="Q72" s="13"/>
      <c r="R72" s="13"/>
      <c r="S72" s="13"/>
      <c r="T72" s="13"/>
      <c r="U72" s="13"/>
      <c r="V72" s="13"/>
      <c r="W72" s="13"/>
      <c r="X72" s="13"/>
      <c r="Y72" s="13"/>
      <c r="Z72" s="13"/>
    </row>
    <row r="73" ht="15.75" customHeight="1">
      <c r="A73" s="13"/>
      <c r="B73" s="112" t="s">
        <v>118</v>
      </c>
      <c r="C73" s="113">
        <f>'Assumptions (P2)'!D135</f>
        <v>63325.06203</v>
      </c>
      <c r="D73" s="114">
        <f>C73/unit_two</f>
        <v>494.7270471</v>
      </c>
      <c r="E73" s="115">
        <v>0.0</v>
      </c>
      <c r="F73" s="114">
        <f>E73/unit_two</f>
        <v>0</v>
      </c>
      <c r="G73" s="115">
        <f t="shared" si="8"/>
        <v>63325.06203</v>
      </c>
      <c r="H73" s="58"/>
      <c r="I73" s="104"/>
      <c r="J73" s="13"/>
      <c r="K73" s="13"/>
      <c r="L73" s="13"/>
      <c r="M73" s="13"/>
      <c r="N73" s="13"/>
      <c r="O73" s="13"/>
      <c r="P73" s="13"/>
      <c r="Q73" s="13"/>
      <c r="R73" s="13"/>
      <c r="S73" s="13"/>
      <c r="T73" s="13"/>
      <c r="U73" s="13"/>
      <c r="V73" s="13"/>
      <c r="W73" s="13"/>
      <c r="X73" s="13"/>
      <c r="Y73" s="13"/>
      <c r="Z73" s="13"/>
    </row>
    <row r="74" ht="15.75" customHeight="1">
      <c r="A74" s="13"/>
      <c r="B74" s="112" t="str">
        <f>'Assumptions (P2)'!C136</f>
        <v>Construction Period Inspection Fees</v>
      </c>
      <c r="C74" s="125">
        <f>'Assumptions (P2)'!D136</f>
        <v>20000</v>
      </c>
      <c r="D74" s="114">
        <f>C74/unit_two</f>
        <v>156.25</v>
      </c>
      <c r="E74" s="115">
        <v>0.0</v>
      </c>
      <c r="F74" s="114">
        <f>E74/unit_two</f>
        <v>0</v>
      </c>
      <c r="G74" s="115">
        <f t="shared" si="8"/>
        <v>20000</v>
      </c>
      <c r="H74" s="13"/>
      <c r="I74" s="104"/>
      <c r="J74" s="95"/>
      <c r="K74" s="13"/>
      <c r="L74" s="13"/>
      <c r="M74" s="13"/>
      <c r="N74" s="13"/>
      <c r="O74" s="13"/>
      <c r="P74" s="13"/>
      <c r="Q74" s="13"/>
      <c r="R74" s="13"/>
      <c r="S74" s="13"/>
      <c r="T74" s="13"/>
      <c r="U74" s="13"/>
      <c r="V74" s="13"/>
      <c r="W74" s="13"/>
      <c r="X74" s="13"/>
      <c r="Y74" s="13"/>
      <c r="Z74" s="13"/>
    </row>
    <row r="75" ht="15.75" customHeight="1">
      <c r="A75" s="13"/>
      <c r="B75" s="112" t="str">
        <f>'Assumptions (P2)'!C137</f>
        <v>Loan Documentation Fees</v>
      </c>
      <c r="C75" s="125">
        <f>'Assumptions (P2)'!D137</f>
        <v>20000</v>
      </c>
      <c r="D75" s="114">
        <f>C75/unit_two</f>
        <v>156.25</v>
      </c>
      <c r="E75" s="115">
        <v>0.0</v>
      </c>
      <c r="F75" s="114">
        <f>E75/unit_two</f>
        <v>0</v>
      </c>
      <c r="G75" s="115">
        <f t="shared" si="8"/>
        <v>20000</v>
      </c>
      <c r="H75" s="13"/>
      <c r="I75" s="104"/>
      <c r="J75" s="95"/>
      <c r="K75" s="13"/>
      <c r="L75" s="13"/>
      <c r="M75" s="13"/>
      <c r="N75" s="13"/>
      <c r="O75" s="13"/>
      <c r="P75" s="13"/>
      <c r="Q75" s="13"/>
      <c r="R75" s="13"/>
      <c r="S75" s="13"/>
      <c r="T75" s="13"/>
      <c r="U75" s="13"/>
      <c r="V75" s="13"/>
      <c r="W75" s="13"/>
      <c r="X75" s="13"/>
      <c r="Y75" s="13"/>
      <c r="Z75" s="13"/>
    </row>
    <row r="76" ht="15.75" customHeight="1">
      <c r="A76" s="13"/>
      <c r="B76" s="112" t="str">
        <f>'Assumptions (P2)'!C138</f>
        <v>Cons. Loan Application Fee</v>
      </c>
      <c r="C76" s="125">
        <f>'Assumptions (P2)'!D138</f>
        <v>500</v>
      </c>
      <c r="D76" s="114">
        <f>C76/unit_two</f>
        <v>3.90625</v>
      </c>
      <c r="E76" s="126">
        <v>0.0</v>
      </c>
      <c r="F76" s="114">
        <f>E76/unit_two</f>
        <v>0</v>
      </c>
      <c r="G76" s="115">
        <f t="shared" si="8"/>
        <v>500</v>
      </c>
      <c r="H76" s="13"/>
      <c r="I76" s="104"/>
      <c r="J76" s="95"/>
      <c r="K76" s="13"/>
      <c r="L76" s="13"/>
      <c r="M76" s="13"/>
      <c r="N76" s="13"/>
      <c r="O76" s="13"/>
      <c r="P76" s="13"/>
      <c r="Q76" s="13"/>
      <c r="R76" s="13"/>
      <c r="S76" s="13"/>
      <c r="T76" s="13"/>
      <c r="U76" s="13"/>
      <c r="V76" s="13"/>
      <c r="W76" s="13"/>
      <c r="X76" s="13"/>
      <c r="Y76" s="13"/>
      <c r="Z76" s="13"/>
    </row>
    <row r="77" ht="15.75" customHeight="1">
      <c r="A77" s="13"/>
      <c r="B77" s="112" t="str">
        <f>'Assumptions (P2)'!C139</f>
        <v>Impact Fees</v>
      </c>
      <c r="C77" s="125">
        <f>'Assumptions (P2)'!D139</f>
        <v>147051.5295</v>
      </c>
      <c r="D77" s="114">
        <f>C77/unit_two</f>
        <v>1148.840074</v>
      </c>
      <c r="E77" s="126">
        <v>0.0</v>
      </c>
      <c r="F77" s="114">
        <f>E77/unit_two</f>
        <v>0</v>
      </c>
      <c r="G77" s="115">
        <f t="shared" si="8"/>
        <v>147051.5295</v>
      </c>
      <c r="H77" s="13"/>
      <c r="I77" s="104"/>
      <c r="J77" s="95"/>
      <c r="K77" s="13"/>
      <c r="L77" s="13"/>
      <c r="M77" s="13"/>
      <c r="N77" s="13"/>
      <c r="O77" s="13"/>
      <c r="P77" s="13"/>
      <c r="Q77" s="13"/>
      <c r="R77" s="13"/>
      <c r="S77" s="13"/>
      <c r="T77" s="13"/>
      <c r="U77" s="13"/>
      <c r="V77" s="13"/>
      <c r="W77" s="13"/>
      <c r="X77" s="13"/>
      <c r="Y77" s="13"/>
      <c r="Z77" s="13"/>
    </row>
    <row r="78" ht="15.75" customHeight="1">
      <c r="A78" s="13"/>
      <c r="B78" s="117" t="s">
        <v>95</v>
      </c>
      <c r="C78" s="118">
        <f>SUM(C68:C77)</f>
        <v>4255297.463</v>
      </c>
      <c r="D78" s="118">
        <f>C78/unit_two</f>
        <v>33244.51143</v>
      </c>
      <c r="E78" s="118">
        <f>SUM(E68:E77)</f>
        <v>0</v>
      </c>
      <c r="F78" s="118">
        <f>E78/unit_two</f>
        <v>0</v>
      </c>
      <c r="G78" s="118">
        <f>SUM(G68:G77)</f>
        <v>4255297.463</v>
      </c>
      <c r="H78" s="13"/>
      <c r="I78" s="13"/>
      <c r="J78" s="13"/>
      <c r="K78" s="13"/>
      <c r="L78" s="13"/>
      <c r="M78" s="13"/>
      <c r="N78" s="13"/>
      <c r="O78" s="13"/>
      <c r="P78" s="13"/>
      <c r="Q78" s="13"/>
      <c r="R78" s="13"/>
      <c r="S78" s="13"/>
      <c r="T78" s="13"/>
      <c r="U78" s="13"/>
      <c r="V78" s="13"/>
      <c r="W78" s="13"/>
      <c r="X78" s="13"/>
      <c r="Y78" s="13"/>
      <c r="Z78" s="13"/>
    </row>
    <row r="79" ht="15.75" customHeight="1">
      <c r="A79" s="13"/>
      <c r="B79" s="120" t="s">
        <v>119</v>
      </c>
      <c r="C79" s="121"/>
      <c r="D79" s="137"/>
      <c r="E79" s="122"/>
      <c r="F79" s="137"/>
      <c r="G79" s="122"/>
      <c r="H79" s="13"/>
      <c r="I79" s="13"/>
      <c r="J79" s="13"/>
      <c r="K79" s="13"/>
      <c r="L79" s="13"/>
      <c r="M79" s="13"/>
      <c r="N79" s="13"/>
      <c r="O79" s="13"/>
      <c r="P79" s="13"/>
      <c r="Q79" s="13"/>
      <c r="R79" s="13"/>
      <c r="S79" s="13"/>
      <c r="T79" s="13"/>
      <c r="U79" s="13"/>
      <c r="V79" s="13"/>
      <c r="W79" s="13"/>
      <c r="X79" s="13"/>
      <c r="Y79" s="13"/>
      <c r="Z79" s="13"/>
    </row>
    <row r="80" ht="15.75" customHeight="1">
      <c r="A80" s="13"/>
      <c r="B80" s="112" t="s">
        <v>544</v>
      </c>
      <c r="C80" s="113">
        <f>'Loan Sizing (P2)'!D14*'Assumptions (P2)'!D142</f>
        <v>150000</v>
      </c>
      <c r="D80" s="114">
        <f>C80/unit_two</f>
        <v>1171.875</v>
      </c>
      <c r="E80" s="115">
        <v>0.0</v>
      </c>
      <c r="F80" s="114">
        <f>E80/unit_two</f>
        <v>0</v>
      </c>
      <c r="G80" s="115">
        <v>0.0</v>
      </c>
      <c r="H80" s="13"/>
      <c r="I80" s="104"/>
      <c r="J80" s="13"/>
      <c r="K80" s="13"/>
      <c r="L80" s="13"/>
      <c r="M80" s="13"/>
      <c r="N80" s="13"/>
      <c r="O80" s="13"/>
      <c r="P80" s="13"/>
      <c r="Q80" s="13"/>
      <c r="R80" s="13"/>
      <c r="S80" s="13"/>
      <c r="T80" s="13"/>
      <c r="U80" s="13"/>
      <c r="V80" s="13"/>
      <c r="W80" s="13"/>
      <c r="X80" s="13"/>
      <c r="Y80" s="13"/>
      <c r="Z80" s="13"/>
    </row>
    <row r="81" ht="15.75" customHeight="1">
      <c r="A81" s="13"/>
      <c r="B81" s="112" t="s">
        <v>120</v>
      </c>
      <c r="C81" s="113">
        <f>'Assumptions (P2)'!D143</f>
        <v>5000</v>
      </c>
      <c r="D81" s="114">
        <f>C81/unit_two</f>
        <v>39.0625</v>
      </c>
      <c r="E81" s="115">
        <v>0.0</v>
      </c>
      <c r="F81" s="114">
        <f>E81/unit_two</f>
        <v>0</v>
      </c>
      <c r="G81" s="115">
        <v>0.0</v>
      </c>
      <c r="H81" s="58"/>
      <c r="I81" s="104"/>
      <c r="J81" s="13"/>
      <c r="K81" s="13"/>
      <c r="L81" s="13"/>
      <c r="M81" s="13"/>
      <c r="N81" s="13"/>
      <c r="O81" s="13"/>
      <c r="P81" s="13"/>
      <c r="Q81" s="13"/>
      <c r="R81" s="13"/>
      <c r="S81" s="13"/>
      <c r="T81" s="13"/>
      <c r="U81" s="13"/>
      <c r="V81" s="13"/>
      <c r="W81" s="13"/>
      <c r="X81" s="13"/>
      <c r="Y81" s="13"/>
      <c r="Z81" s="13"/>
    </row>
    <row r="82" ht="15.75" customHeight="1">
      <c r="A82" s="13"/>
      <c r="B82" s="112" t="s">
        <v>121</v>
      </c>
      <c r="C82" s="113">
        <f>'Assumptions (P2)'!D144*1727563+'Assumptions (P2)'!D145*600000</f>
        <v>101378.15</v>
      </c>
      <c r="D82" s="114">
        <f>C82/unit_two</f>
        <v>792.0167969</v>
      </c>
      <c r="E82" s="115">
        <v>0.0</v>
      </c>
      <c r="F82" s="114">
        <f>E82/unit_two</f>
        <v>0</v>
      </c>
      <c r="G82" s="115">
        <v>0.0</v>
      </c>
      <c r="H82" s="13"/>
      <c r="I82" s="104"/>
      <c r="J82" s="13"/>
      <c r="K82" s="13"/>
      <c r="L82" s="13"/>
      <c r="M82" s="13"/>
      <c r="N82" s="13"/>
      <c r="O82" s="13"/>
      <c r="P82" s="13"/>
      <c r="Q82" s="13"/>
      <c r="R82" s="13"/>
      <c r="S82" s="13"/>
      <c r="T82" s="13"/>
      <c r="U82" s="13"/>
      <c r="V82" s="13"/>
      <c r="W82" s="13"/>
      <c r="X82" s="13"/>
      <c r="Y82" s="13"/>
      <c r="Z82" s="13"/>
    </row>
    <row r="83" ht="15.75" customHeight="1">
      <c r="A83" s="13"/>
      <c r="B83" s="112" t="s">
        <v>122</v>
      </c>
      <c r="C83" s="113">
        <f>'Assumptions (P2)'!D146</f>
        <v>2500</v>
      </c>
      <c r="D83" s="114">
        <f>C83/unit_two</f>
        <v>19.53125</v>
      </c>
      <c r="E83" s="115">
        <v>0.0</v>
      </c>
      <c r="F83" s="114">
        <f>E83/unit_two</f>
        <v>0</v>
      </c>
      <c r="G83" s="115">
        <v>0.0</v>
      </c>
      <c r="H83" s="13"/>
      <c r="I83" s="104"/>
      <c r="J83" s="13"/>
      <c r="K83" s="13"/>
      <c r="L83" s="13"/>
      <c r="M83" s="13"/>
      <c r="N83" s="13"/>
      <c r="O83" s="13"/>
      <c r="P83" s="13"/>
      <c r="Q83" s="13"/>
      <c r="R83" s="13"/>
      <c r="S83" s="13"/>
      <c r="T83" s="13"/>
      <c r="U83" s="13"/>
      <c r="V83" s="13"/>
      <c r="W83" s="13"/>
      <c r="X83" s="13"/>
      <c r="Y83" s="13"/>
      <c r="Z83" s="13"/>
    </row>
    <row r="84" ht="15.75" customHeight="1">
      <c r="A84" s="13"/>
      <c r="B84" s="112" t="s">
        <v>516</v>
      </c>
      <c r="C84" s="113">
        <f>'Assumptions (P2)'!D147</f>
        <v>50000</v>
      </c>
      <c r="D84" s="114">
        <f>C84/unit_two</f>
        <v>390.625</v>
      </c>
      <c r="E84" s="115">
        <v>0.0</v>
      </c>
      <c r="F84" s="114">
        <f>E84/unit_two</f>
        <v>0</v>
      </c>
      <c r="G84" s="115">
        <v>0.0</v>
      </c>
      <c r="H84" s="13"/>
      <c r="I84" s="104"/>
      <c r="J84" s="13"/>
      <c r="K84" s="13"/>
      <c r="L84" s="13"/>
      <c r="M84" s="13"/>
      <c r="N84" s="13"/>
      <c r="O84" s="13"/>
      <c r="P84" s="13"/>
      <c r="Q84" s="13"/>
      <c r="R84" s="13"/>
      <c r="S84" s="13"/>
      <c r="T84" s="13"/>
      <c r="U84" s="13"/>
      <c r="V84" s="13"/>
      <c r="W84" s="13"/>
      <c r="X84" s="13"/>
      <c r="Y84" s="13"/>
      <c r="Z84" s="13"/>
    </row>
    <row r="85" ht="15.75" customHeight="1">
      <c r="A85" s="13"/>
      <c r="B85" s="112" t="s">
        <v>125</v>
      </c>
      <c r="C85" s="113">
        <f>'Assumptions (P2)'!D148</f>
        <v>32500</v>
      </c>
      <c r="D85" s="114">
        <f>C85/unit_two</f>
        <v>253.90625</v>
      </c>
      <c r="E85" s="115">
        <v>0.0</v>
      </c>
      <c r="F85" s="114">
        <f>E85/unit_two</f>
        <v>0</v>
      </c>
      <c r="G85" s="115">
        <v>0.0</v>
      </c>
      <c r="H85" s="13"/>
      <c r="I85" s="104"/>
      <c r="J85" s="13"/>
      <c r="K85" s="13"/>
      <c r="L85" s="13"/>
      <c r="M85" s="13"/>
      <c r="N85" s="13"/>
      <c r="O85" s="13"/>
      <c r="P85" s="13"/>
      <c r="Q85" s="13"/>
      <c r="R85" s="13"/>
      <c r="S85" s="13"/>
      <c r="T85" s="13"/>
      <c r="U85" s="13"/>
      <c r="V85" s="13"/>
      <c r="W85" s="13"/>
      <c r="X85" s="13"/>
      <c r="Y85" s="13"/>
      <c r="Z85" s="13"/>
    </row>
    <row r="86" ht="15.75" customHeight="1">
      <c r="A86" s="13"/>
      <c r="B86" s="112" t="s">
        <v>126</v>
      </c>
      <c r="C86" s="113">
        <f>'Assumptions (P2)'!D149</f>
        <v>10000</v>
      </c>
      <c r="D86" s="114">
        <f>C86/unit_two</f>
        <v>78.125</v>
      </c>
      <c r="E86" s="115">
        <v>0.0</v>
      </c>
      <c r="F86" s="114">
        <f>E86/unit_two</f>
        <v>0</v>
      </c>
      <c r="G86" s="115">
        <v>0.0</v>
      </c>
      <c r="H86" s="13"/>
      <c r="I86" s="104"/>
      <c r="J86" s="13"/>
      <c r="K86" s="13"/>
      <c r="L86" s="13"/>
      <c r="M86" s="13"/>
      <c r="N86" s="13"/>
      <c r="O86" s="13"/>
      <c r="P86" s="13"/>
      <c r="Q86" s="13"/>
      <c r="R86" s="13"/>
      <c r="S86" s="13"/>
      <c r="T86" s="13"/>
      <c r="U86" s="13"/>
      <c r="V86" s="13"/>
      <c r="W86" s="13"/>
      <c r="X86" s="13"/>
      <c r="Y86" s="13"/>
      <c r="Z86" s="13"/>
    </row>
    <row r="87" ht="15.75" customHeight="1">
      <c r="A87" s="13"/>
      <c r="B87" s="112" t="s">
        <v>127</v>
      </c>
      <c r="C87" s="113">
        <f>'Assumptions (P2)'!D150</f>
        <v>20000</v>
      </c>
      <c r="D87" s="114">
        <f>C87/unit_two</f>
        <v>156.25</v>
      </c>
      <c r="E87" s="115">
        <v>0.0</v>
      </c>
      <c r="F87" s="114">
        <f>E87/unit_two</f>
        <v>0</v>
      </c>
      <c r="G87" s="115">
        <v>0.0</v>
      </c>
      <c r="H87" s="13"/>
      <c r="I87" s="104"/>
      <c r="J87" s="13"/>
      <c r="K87" s="13"/>
      <c r="L87" s="13"/>
      <c r="M87" s="13"/>
      <c r="N87" s="13"/>
      <c r="O87" s="13"/>
      <c r="P87" s="13"/>
      <c r="Q87" s="13"/>
      <c r="R87" s="13"/>
      <c r="S87" s="13"/>
      <c r="T87" s="13"/>
      <c r="U87" s="13"/>
      <c r="V87" s="13"/>
      <c r="W87" s="13"/>
      <c r="X87" s="13"/>
      <c r="Y87" s="13"/>
      <c r="Z87" s="13"/>
    </row>
    <row r="88" ht="15.75" customHeight="1">
      <c r="A88" s="13"/>
      <c r="B88" s="112" t="s">
        <v>128</v>
      </c>
      <c r="C88" s="113">
        <f>'Assumptions (P2)'!D151*'Sources &amp; Uses (P2)'!C104</f>
        <v>11206.875</v>
      </c>
      <c r="D88" s="114">
        <f>C88/unit_two</f>
        <v>87.55371094</v>
      </c>
      <c r="E88" s="115">
        <v>0.0</v>
      </c>
      <c r="F88" s="114">
        <f>E88/unit_two</f>
        <v>0</v>
      </c>
      <c r="G88" s="115">
        <v>0.0</v>
      </c>
      <c r="H88" s="13"/>
      <c r="I88" s="104"/>
      <c r="J88" s="13"/>
      <c r="K88" s="13"/>
      <c r="L88" s="13"/>
      <c r="M88" s="13"/>
      <c r="N88" s="13"/>
      <c r="O88" s="13"/>
      <c r="P88" s="13"/>
      <c r="Q88" s="13"/>
      <c r="R88" s="13"/>
      <c r="S88" s="13"/>
      <c r="T88" s="13"/>
      <c r="U88" s="13"/>
      <c r="V88" s="13"/>
      <c r="W88" s="13"/>
      <c r="X88" s="13"/>
      <c r="Y88" s="13"/>
      <c r="Z88" s="13"/>
    </row>
    <row r="89" ht="15.75" customHeight="1">
      <c r="A89" s="13"/>
      <c r="B89" s="112" t="str">
        <f>'Assumptions (P2)'!C152</f>
        <v>Permanent Loan Documentation Fees</v>
      </c>
      <c r="C89" s="113">
        <f>'Assumptions (P2)'!D152</f>
        <v>20000</v>
      </c>
      <c r="D89" s="114">
        <f>C89/unit_two</f>
        <v>156.25</v>
      </c>
      <c r="E89" s="115">
        <v>0.0</v>
      </c>
      <c r="F89" s="114">
        <f>E89/unit_two</f>
        <v>0</v>
      </c>
      <c r="G89" s="115">
        <v>0.0</v>
      </c>
      <c r="H89" s="13"/>
      <c r="I89" s="104"/>
      <c r="J89" s="95"/>
      <c r="K89" s="13"/>
      <c r="L89" s="13"/>
      <c r="M89" s="13"/>
      <c r="N89" s="13"/>
      <c r="O89" s="13"/>
      <c r="P89" s="13"/>
      <c r="Q89" s="13"/>
      <c r="R89" s="13"/>
      <c r="S89" s="13"/>
      <c r="T89" s="13"/>
      <c r="U89" s="13"/>
      <c r="V89" s="13"/>
      <c r="W89" s="13"/>
      <c r="X89" s="13"/>
      <c r="Y89" s="13"/>
      <c r="Z89" s="13"/>
    </row>
    <row r="90" ht="15.75" customHeight="1">
      <c r="A90" s="13"/>
      <c r="B90" s="112" t="str">
        <f>'Assumptions (P2)'!C153</f>
        <v>Permanent Loan Application Fee</v>
      </c>
      <c r="C90" s="113">
        <f>'Assumptions (P2)'!D153</f>
        <v>500</v>
      </c>
      <c r="D90" s="114">
        <f>C90/unit_two</f>
        <v>3.90625</v>
      </c>
      <c r="E90" s="115">
        <v>0.0</v>
      </c>
      <c r="F90" s="114">
        <f>E90/unit_two</f>
        <v>0</v>
      </c>
      <c r="G90" s="115">
        <v>0.0</v>
      </c>
      <c r="H90" s="13"/>
      <c r="I90" s="104"/>
      <c r="J90" s="95"/>
      <c r="K90" s="13"/>
      <c r="L90" s="13"/>
      <c r="M90" s="13"/>
      <c r="N90" s="13"/>
      <c r="O90" s="13"/>
      <c r="P90" s="13"/>
      <c r="Q90" s="13"/>
      <c r="R90" s="13"/>
      <c r="S90" s="13"/>
      <c r="T90" s="13"/>
      <c r="U90" s="13"/>
      <c r="V90" s="13"/>
      <c r="W90" s="13"/>
      <c r="X90" s="13"/>
      <c r="Y90" s="13"/>
      <c r="Z90" s="13"/>
    </row>
    <row r="91" ht="15.75" customHeight="1">
      <c r="A91" s="13"/>
      <c r="B91" s="112" t="str">
        <f>'Assumptions (P2)'!C154</f>
        <v>8609 Issuance</v>
      </c>
      <c r="C91" s="113">
        <f>'Assumptions (P2)'!D154</f>
        <v>600</v>
      </c>
      <c r="D91" s="114">
        <f>C91/unit_two</f>
        <v>4.6875</v>
      </c>
      <c r="E91" s="126">
        <v>0.0</v>
      </c>
      <c r="F91" s="114">
        <f>E91/unit_two</f>
        <v>0</v>
      </c>
      <c r="G91" s="115">
        <v>0.0</v>
      </c>
      <c r="H91" s="13"/>
      <c r="I91" s="104"/>
      <c r="J91" s="95"/>
      <c r="K91" s="13"/>
      <c r="L91" s="13"/>
      <c r="M91" s="13"/>
      <c r="N91" s="13"/>
      <c r="O91" s="13"/>
      <c r="P91" s="13"/>
      <c r="Q91" s="13"/>
      <c r="R91" s="13"/>
      <c r="S91" s="13"/>
      <c r="T91" s="13"/>
      <c r="U91" s="13"/>
      <c r="V91" s="13"/>
      <c r="W91" s="13"/>
      <c r="X91" s="13"/>
      <c r="Y91" s="13"/>
      <c r="Z91" s="13"/>
    </row>
    <row r="92" ht="15.75" customHeight="1">
      <c r="A92" s="13"/>
      <c r="B92" s="117" t="s">
        <v>95</v>
      </c>
      <c r="C92" s="118">
        <f>SUM(C80:C91)</f>
        <v>403685.025</v>
      </c>
      <c r="D92" s="118">
        <f>C92/unit_two</f>
        <v>3153.789258</v>
      </c>
      <c r="E92" s="118">
        <f>SUM(E80:E91)</f>
        <v>0</v>
      </c>
      <c r="F92" s="118">
        <f>E92/unit_two</f>
        <v>0</v>
      </c>
      <c r="G92" s="118">
        <f>SUM(G80:G91)</f>
        <v>0</v>
      </c>
      <c r="H92" s="13"/>
      <c r="I92" s="13"/>
      <c r="J92" s="13"/>
      <c r="K92" s="13"/>
      <c r="L92" s="13"/>
      <c r="M92" s="13"/>
      <c r="N92" s="13"/>
      <c r="O92" s="13"/>
      <c r="P92" s="13"/>
      <c r="Q92" s="13"/>
      <c r="R92" s="13"/>
      <c r="S92" s="13"/>
      <c r="T92" s="13"/>
      <c r="U92" s="13"/>
      <c r="V92" s="13"/>
      <c r="W92" s="13"/>
      <c r="X92" s="13"/>
      <c r="Y92" s="13"/>
      <c r="Z92" s="13"/>
    </row>
    <row r="93" ht="15.75" customHeight="1">
      <c r="A93" s="13"/>
      <c r="B93" s="120" t="s">
        <v>129</v>
      </c>
      <c r="C93" s="121"/>
      <c r="D93" s="137"/>
      <c r="E93" s="122"/>
      <c r="F93" s="137"/>
      <c r="G93" s="122"/>
      <c r="H93" s="13"/>
      <c r="I93" s="13"/>
      <c r="J93" s="13"/>
      <c r="K93" s="13"/>
      <c r="L93" s="13"/>
      <c r="M93" s="13"/>
      <c r="N93" s="13"/>
      <c r="O93" s="13"/>
      <c r="P93" s="13"/>
      <c r="Q93" s="13"/>
      <c r="R93" s="13"/>
      <c r="S93" s="13"/>
      <c r="T93" s="13"/>
      <c r="U93" s="13"/>
      <c r="V93" s="13"/>
      <c r="W93" s="13"/>
      <c r="X93" s="13"/>
      <c r="Y93" s="13"/>
      <c r="Z93" s="13"/>
    </row>
    <row r="94" ht="15.75" customHeight="1">
      <c r="A94" s="13"/>
      <c r="B94" s="112" t="s">
        <v>130</v>
      </c>
      <c r="C94" s="113">
        <f>'Assumptions (P2)'!D157</f>
        <v>8750</v>
      </c>
      <c r="D94" s="114">
        <f>C94/unit_two</f>
        <v>68.359375</v>
      </c>
      <c r="E94" s="115">
        <v>0.0</v>
      </c>
      <c r="F94" s="114">
        <f>E94/unit_two</f>
        <v>0</v>
      </c>
      <c r="G94" s="115">
        <f t="shared" ref="G94:G103" si="9">C94</f>
        <v>8750</v>
      </c>
      <c r="H94" s="13"/>
      <c r="I94" s="104"/>
      <c r="J94" s="13"/>
      <c r="K94" s="13"/>
      <c r="L94" s="13"/>
      <c r="M94" s="13"/>
      <c r="N94" s="13"/>
      <c r="O94" s="13"/>
      <c r="P94" s="13"/>
      <c r="Q94" s="13"/>
      <c r="R94" s="13"/>
      <c r="S94" s="13"/>
      <c r="T94" s="13"/>
      <c r="U94" s="13"/>
      <c r="V94" s="13"/>
      <c r="W94" s="13"/>
      <c r="X94" s="13"/>
      <c r="Y94" s="13"/>
      <c r="Z94" s="13"/>
    </row>
    <row r="95" ht="15.75" customHeight="1">
      <c r="A95" s="13"/>
      <c r="B95" s="112" t="s">
        <v>131</v>
      </c>
      <c r="C95" s="113">
        <f>'Assumptions (P2)'!D158</f>
        <v>7250</v>
      </c>
      <c r="D95" s="114">
        <f>C95/unit_two</f>
        <v>56.640625</v>
      </c>
      <c r="E95" s="115">
        <v>0.0</v>
      </c>
      <c r="F95" s="114">
        <f>E95/unit_two</f>
        <v>0</v>
      </c>
      <c r="G95" s="115">
        <f t="shared" si="9"/>
        <v>7250</v>
      </c>
      <c r="H95" s="13"/>
      <c r="I95" s="104"/>
      <c r="J95" s="13"/>
      <c r="K95" s="13"/>
      <c r="L95" s="13"/>
      <c r="M95" s="13"/>
      <c r="N95" s="13"/>
      <c r="O95" s="13"/>
      <c r="P95" s="13"/>
      <c r="Q95" s="13"/>
      <c r="R95" s="13"/>
      <c r="S95" s="13"/>
      <c r="T95" s="13"/>
      <c r="U95" s="13"/>
      <c r="V95" s="13"/>
      <c r="W95" s="13"/>
      <c r="X95" s="13"/>
      <c r="Y95" s="13"/>
      <c r="Z95" s="13"/>
    </row>
    <row r="96" ht="15.75" customHeight="1">
      <c r="A96" s="13"/>
      <c r="B96" s="112" t="s">
        <v>132</v>
      </c>
      <c r="C96" s="113">
        <f>'Assumptions (P2)'!D159</f>
        <v>12500</v>
      </c>
      <c r="D96" s="114">
        <f>C96/unit_two</f>
        <v>97.65625</v>
      </c>
      <c r="E96" s="115">
        <v>0.0</v>
      </c>
      <c r="F96" s="114">
        <f>E96/unit_two</f>
        <v>0</v>
      </c>
      <c r="G96" s="115">
        <f t="shared" si="9"/>
        <v>12500</v>
      </c>
      <c r="H96" s="13"/>
      <c r="I96" s="104"/>
      <c r="J96" s="13"/>
      <c r="K96" s="13"/>
      <c r="L96" s="13"/>
      <c r="M96" s="13"/>
      <c r="N96" s="13"/>
      <c r="O96" s="13"/>
      <c r="P96" s="13"/>
      <c r="Q96" s="13"/>
      <c r="R96" s="13"/>
      <c r="S96" s="13"/>
      <c r="T96" s="13"/>
      <c r="U96" s="13"/>
      <c r="V96" s="13"/>
      <c r="W96" s="13"/>
      <c r="X96" s="13"/>
      <c r="Y96" s="13"/>
      <c r="Z96" s="13"/>
    </row>
    <row r="97" ht="15.75" customHeight="1">
      <c r="A97" s="13"/>
      <c r="B97" s="112" t="s">
        <v>133</v>
      </c>
      <c r="C97" s="113">
        <f>'Assumptions (P2)'!D160</f>
        <v>10700</v>
      </c>
      <c r="D97" s="114">
        <f>C97/unit_two</f>
        <v>83.59375</v>
      </c>
      <c r="E97" s="115">
        <v>0.0</v>
      </c>
      <c r="F97" s="114">
        <f>E97/unit_two</f>
        <v>0</v>
      </c>
      <c r="G97" s="115">
        <f t="shared" si="9"/>
        <v>10700</v>
      </c>
      <c r="H97" s="13"/>
      <c r="I97" s="104"/>
      <c r="J97" s="13"/>
      <c r="K97" s="13"/>
      <c r="L97" s="13"/>
      <c r="M97" s="13"/>
      <c r="N97" s="13"/>
      <c r="O97" s="13"/>
      <c r="P97" s="13"/>
      <c r="Q97" s="13"/>
      <c r="R97" s="13"/>
      <c r="S97" s="13"/>
      <c r="T97" s="13"/>
      <c r="U97" s="13"/>
      <c r="V97" s="13"/>
      <c r="W97" s="13"/>
      <c r="X97" s="13"/>
      <c r="Y97" s="13"/>
      <c r="Z97" s="13"/>
    </row>
    <row r="98" ht="15.75" customHeight="1">
      <c r="A98" s="13"/>
      <c r="B98" s="112" t="s">
        <v>134</v>
      </c>
      <c r="C98" s="113">
        <f>'Assumptions (P2)'!D161*unit_two</f>
        <v>0</v>
      </c>
      <c r="D98" s="114">
        <f>C98/unit_two</f>
        <v>0</v>
      </c>
      <c r="E98" s="115">
        <v>0.0</v>
      </c>
      <c r="F98" s="114">
        <f>E98/unit_two</f>
        <v>0</v>
      </c>
      <c r="G98" s="115">
        <f t="shared" si="9"/>
        <v>0</v>
      </c>
      <c r="H98" s="13"/>
      <c r="I98" s="104"/>
      <c r="J98" s="13"/>
      <c r="K98" s="13"/>
      <c r="L98" s="13"/>
      <c r="M98" s="13"/>
      <c r="N98" s="13"/>
      <c r="O98" s="13"/>
      <c r="P98" s="13"/>
      <c r="Q98" s="13"/>
      <c r="R98" s="13"/>
      <c r="S98" s="13"/>
      <c r="T98" s="13"/>
      <c r="U98" s="13"/>
      <c r="V98" s="13"/>
      <c r="W98" s="13"/>
      <c r="X98" s="13"/>
      <c r="Y98" s="13"/>
      <c r="Z98" s="13"/>
    </row>
    <row r="99" ht="15.75" customHeight="1">
      <c r="A99" s="13"/>
      <c r="B99" s="112" t="s">
        <v>135</v>
      </c>
      <c r="C99" s="113">
        <f>'Assumptions (P2)'!D162</f>
        <v>97500</v>
      </c>
      <c r="D99" s="114">
        <f>C99/unit_two</f>
        <v>761.71875</v>
      </c>
      <c r="E99" s="115">
        <v>0.0</v>
      </c>
      <c r="F99" s="114">
        <f>E99/unit_two</f>
        <v>0</v>
      </c>
      <c r="G99" s="115">
        <f t="shared" si="9"/>
        <v>97500</v>
      </c>
      <c r="H99" s="13"/>
      <c r="I99" s="104"/>
      <c r="J99" s="13"/>
      <c r="K99" s="13"/>
      <c r="L99" s="13"/>
      <c r="M99" s="13"/>
      <c r="N99" s="13"/>
      <c r="O99" s="13"/>
      <c r="P99" s="13"/>
      <c r="Q99" s="13"/>
      <c r="R99" s="13"/>
      <c r="S99" s="13"/>
      <c r="T99" s="13"/>
      <c r="U99" s="13"/>
      <c r="V99" s="13"/>
      <c r="W99" s="13"/>
      <c r="X99" s="13"/>
      <c r="Y99" s="13"/>
      <c r="Z99" s="13"/>
    </row>
    <row r="100" ht="15.75" customHeight="1">
      <c r="A100" s="13"/>
      <c r="B100" s="112" t="s">
        <v>136</v>
      </c>
      <c r="C100" s="113">
        <f>'Assumptions (P2)'!D163</f>
        <v>37437.5</v>
      </c>
      <c r="D100" s="114">
        <f>C100/unit_two</f>
        <v>292.4804688</v>
      </c>
      <c r="E100" s="115">
        <v>0.0</v>
      </c>
      <c r="F100" s="114">
        <f>E100/unit_two</f>
        <v>0</v>
      </c>
      <c r="G100" s="115">
        <f t="shared" si="9"/>
        <v>37437.5</v>
      </c>
      <c r="H100" s="13"/>
      <c r="I100" s="104"/>
      <c r="J100" s="13"/>
      <c r="K100" s="13"/>
      <c r="L100" s="13"/>
      <c r="M100" s="13"/>
      <c r="N100" s="13"/>
      <c r="O100" s="13"/>
      <c r="P100" s="13"/>
      <c r="Q100" s="13"/>
      <c r="R100" s="13"/>
      <c r="S100" s="13"/>
      <c r="T100" s="13"/>
      <c r="U100" s="13"/>
      <c r="V100" s="13"/>
      <c r="W100" s="13"/>
      <c r="X100" s="13"/>
      <c r="Y100" s="13"/>
      <c r="Z100" s="13"/>
    </row>
    <row r="101" ht="15.75" customHeight="1">
      <c r="A101" s="13"/>
      <c r="B101" s="112" t="str">
        <f>'Assumptions (P2)'!C165</f>
        <v>Other: Sustainability Consultant Fee</v>
      </c>
      <c r="C101" s="113">
        <f>'Assumptions (P2)'!D165</f>
        <v>20000</v>
      </c>
      <c r="D101" s="114">
        <f>C101/unit_two</f>
        <v>156.25</v>
      </c>
      <c r="E101" s="115">
        <v>0.0</v>
      </c>
      <c r="F101" s="114">
        <f>E101/unit_two</f>
        <v>0</v>
      </c>
      <c r="G101" s="115">
        <f t="shared" si="9"/>
        <v>20000</v>
      </c>
      <c r="H101" s="13"/>
      <c r="I101" s="104"/>
      <c r="J101" s="95"/>
      <c r="K101" s="13"/>
      <c r="L101" s="13"/>
      <c r="M101" s="13"/>
      <c r="N101" s="13"/>
      <c r="O101" s="13"/>
      <c r="P101" s="13"/>
      <c r="Q101" s="13"/>
      <c r="R101" s="13"/>
      <c r="S101" s="13"/>
      <c r="T101" s="13"/>
      <c r="U101" s="13"/>
      <c r="V101" s="13"/>
      <c r="W101" s="13"/>
      <c r="X101" s="13"/>
      <c r="Y101" s="13"/>
      <c r="Z101" s="13"/>
    </row>
    <row r="102" ht="15.75" customHeight="1">
      <c r="A102" s="13"/>
      <c r="B102" s="112" t="str">
        <f>'Assumptions (P2)'!C166</f>
        <v>Other: Green Certification (LEED)</v>
      </c>
      <c r="C102" s="113">
        <f>'Assumptions (P2)'!D166</f>
        <v>15000</v>
      </c>
      <c r="D102" s="114">
        <f>C102/unit_two</f>
        <v>117.1875</v>
      </c>
      <c r="E102" s="115">
        <v>0.0</v>
      </c>
      <c r="F102" s="114">
        <f>E102/unit_two</f>
        <v>0</v>
      </c>
      <c r="G102" s="115">
        <f t="shared" si="9"/>
        <v>15000</v>
      </c>
      <c r="H102" s="13"/>
      <c r="I102" s="104"/>
      <c r="J102" s="95"/>
      <c r="K102" s="13"/>
      <c r="L102" s="13"/>
      <c r="M102" s="13"/>
      <c r="N102" s="13"/>
      <c r="O102" s="13"/>
      <c r="P102" s="13"/>
      <c r="Q102" s="13"/>
      <c r="R102" s="13"/>
      <c r="S102" s="13"/>
      <c r="T102" s="13"/>
      <c r="U102" s="13"/>
      <c r="V102" s="13"/>
      <c r="W102" s="13"/>
      <c r="X102" s="13"/>
      <c r="Y102" s="13"/>
      <c r="Z102" s="13"/>
    </row>
    <row r="103" ht="15.75" customHeight="1">
      <c r="A103" s="13"/>
      <c r="B103" s="112" t="str">
        <f>'Assumptions (P2)'!C167</f>
        <v>Other: Accessibility Inspections and Plan Review</v>
      </c>
      <c r="C103" s="113">
        <f>'Assumptions (P2)'!D167</f>
        <v>15000</v>
      </c>
      <c r="D103" s="114">
        <f>C103/unit_two</f>
        <v>117.1875</v>
      </c>
      <c r="E103" s="126">
        <v>0.0</v>
      </c>
      <c r="F103" s="114">
        <f>E103/unit_two</f>
        <v>0</v>
      </c>
      <c r="G103" s="115">
        <f t="shared" si="9"/>
        <v>15000</v>
      </c>
      <c r="H103" s="13"/>
      <c r="I103" s="104"/>
      <c r="J103" s="95"/>
      <c r="K103" s="13"/>
      <c r="L103" s="13"/>
      <c r="M103" s="13"/>
      <c r="N103" s="13"/>
      <c r="O103" s="13"/>
      <c r="P103" s="13"/>
      <c r="Q103" s="13"/>
      <c r="R103" s="13"/>
      <c r="S103" s="13"/>
      <c r="T103" s="13"/>
      <c r="U103" s="13"/>
      <c r="V103" s="13"/>
      <c r="W103" s="13"/>
      <c r="X103" s="13"/>
      <c r="Y103" s="13"/>
      <c r="Z103" s="13"/>
    </row>
    <row r="104" ht="15.75" customHeight="1">
      <c r="A104" s="13"/>
      <c r="B104" s="117" t="s">
        <v>95</v>
      </c>
      <c r="C104" s="118">
        <f>SUM(C94:C103)</f>
        <v>224137.5</v>
      </c>
      <c r="D104" s="118">
        <f>C104/unit_two</f>
        <v>1751.074219</v>
      </c>
      <c r="E104" s="118">
        <f>SUM(E94:E103)</f>
        <v>0</v>
      </c>
      <c r="F104" s="118">
        <f>E104/unit_two</f>
        <v>0</v>
      </c>
      <c r="G104" s="118">
        <f>SUM(G94:G103)</f>
        <v>224137.5</v>
      </c>
      <c r="H104" s="13"/>
      <c r="I104" s="13"/>
      <c r="J104" s="13"/>
      <c r="K104" s="13"/>
      <c r="L104" s="13"/>
      <c r="M104" s="13"/>
      <c r="N104" s="13"/>
      <c r="O104" s="13"/>
      <c r="P104" s="13"/>
      <c r="Q104" s="13"/>
      <c r="R104" s="13"/>
      <c r="S104" s="13"/>
      <c r="T104" s="13"/>
      <c r="U104" s="13"/>
      <c r="V104" s="13"/>
      <c r="W104" s="13"/>
      <c r="X104" s="13"/>
      <c r="Y104" s="13"/>
      <c r="Z104" s="13"/>
    </row>
    <row r="105" ht="15.75" customHeight="1">
      <c r="A105" s="13"/>
      <c r="B105" s="139"/>
      <c r="C105" s="140"/>
      <c r="D105" s="140"/>
      <c r="E105" s="140"/>
      <c r="F105" s="140"/>
      <c r="G105" s="140"/>
      <c r="H105" s="13"/>
      <c r="I105" s="13"/>
      <c r="J105" s="13"/>
      <c r="K105" s="13"/>
      <c r="L105" s="13"/>
      <c r="M105" s="13"/>
      <c r="N105" s="13"/>
      <c r="O105" s="13"/>
      <c r="P105" s="13"/>
      <c r="Q105" s="13"/>
      <c r="R105" s="13"/>
      <c r="S105" s="13"/>
      <c r="T105" s="13"/>
      <c r="U105" s="13"/>
      <c r="V105" s="13"/>
      <c r="W105" s="13"/>
      <c r="X105" s="13"/>
      <c r="Y105" s="13"/>
      <c r="Z105" s="13"/>
    </row>
    <row r="106" ht="30.0" customHeight="1">
      <c r="A106" s="13"/>
      <c r="B106" s="141" t="s">
        <v>137</v>
      </c>
      <c r="C106" s="118">
        <f>C54+C64+C78+C92+C104</f>
        <v>32419132.81</v>
      </c>
      <c r="D106" s="118">
        <f>C106/unit_two</f>
        <v>253274.4751</v>
      </c>
      <c r="E106" s="118">
        <f>E54+E64+E78+E92+E104</f>
        <v>0</v>
      </c>
      <c r="F106" s="118">
        <f>E106/unit_two</f>
        <v>0</v>
      </c>
      <c r="G106" s="118">
        <f>G54+G64+G78+G92+G104</f>
        <v>30587694.03</v>
      </c>
      <c r="H106" s="13"/>
      <c r="I106" s="13"/>
      <c r="J106" s="13"/>
      <c r="K106" s="13"/>
      <c r="L106" s="13"/>
      <c r="M106" s="13"/>
      <c r="N106" s="13"/>
      <c r="O106" s="13"/>
      <c r="P106" s="13"/>
      <c r="Q106" s="13"/>
      <c r="R106" s="13"/>
      <c r="S106" s="13"/>
      <c r="T106" s="13"/>
      <c r="U106" s="13"/>
      <c r="V106" s="13"/>
      <c r="W106" s="13"/>
      <c r="X106" s="13"/>
      <c r="Y106" s="13"/>
      <c r="Z106" s="13"/>
    </row>
    <row r="107" ht="15.75" customHeight="1">
      <c r="A107" s="13"/>
      <c r="B107" s="139"/>
      <c r="C107" s="140"/>
      <c r="D107" s="140"/>
      <c r="E107" s="140"/>
      <c r="F107" s="140"/>
      <c r="G107" s="140"/>
      <c r="H107" s="13"/>
      <c r="I107" s="13"/>
      <c r="J107" s="13"/>
      <c r="K107" s="13"/>
      <c r="L107" s="13"/>
      <c r="M107" s="13"/>
      <c r="N107" s="13"/>
      <c r="O107" s="13"/>
      <c r="P107" s="13"/>
      <c r="Q107" s="13"/>
      <c r="R107" s="13"/>
      <c r="S107" s="13"/>
      <c r="T107" s="13"/>
      <c r="U107" s="13"/>
      <c r="V107" s="13"/>
      <c r="W107" s="13"/>
      <c r="X107" s="13"/>
      <c r="Y107" s="13"/>
      <c r="Z107" s="13"/>
    </row>
    <row r="108" ht="15.75" customHeight="1">
      <c r="A108" s="13"/>
      <c r="B108" s="120" t="s">
        <v>138</v>
      </c>
      <c r="C108" s="121"/>
      <c r="D108" s="137"/>
      <c r="E108" s="122"/>
      <c r="F108" s="137"/>
      <c r="G108" s="122"/>
      <c r="H108" s="13"/>
      <c r="I108" s="13"/>
      <c r="J108" s="13"/>
      <c r="K108" s="13"/>
      <c r="L108" s="13"/>
      <c r="M108" s="13"/>
      <c r="N108" s="13"/>
      <c r="O108" s="13"/>
      <c r="P108" s="13"/>
      <c r="Q108" s="13"/>
      <c r="R108" s="13"/>
      <c r="S108" s="13"/>
      <c r="T108" s="13"/>
      <c r="U108" s="13"/>
      <c r="V108" s="13"/>
      <c r="W108" s="13"/>
      <c r="X108" s="13"/>
      <c r="Y108" s="13"/>
      <c r="Z108" s="13"/>
    </row>
    <row r="109" ht="15.75" customHeight="1">
      <c r="A109" s="13"/>
      <c r="B109" s="112" t="s">
        <v>54</v>
      </c>
      <c r="C109" s="125">
        <f>unit_two*'Assumptions (P2)'!D170</f>
        <v>2688000</v>
      </c>
      <c r="D109" s="114">
        <f>C109/unit_two</f>
        <v>21000</v>
      </c>
      <c r="E109" s="126">
        <v>0.0</v>
      </c>
      <c r="F109" s="114">
        <f>E109/unit_two</f>
        <v>0</v>
      </c>
      <c r="G109" s="115">
        <f t="shared" ref="G109:G110" si="10">C109</f>
        <v>2688000</v>
      </c>
      <c r="H109" s="13"/>
      <c r="I109" s="104"/>
      <c r="J109" s="13"/>
      <c r="K109" s="13"/>
      <c r="L109" s="13"/>
      <c r="M109" s="13"/>
      <c r="N109" s="13"/>
      <c r="O109" s="13"/>
      <c r="P109" s="13"/>
      <c r="Q109" s="13"/>
      <c r="R109" s="13"/>
      <c r="S109" s="13"/>
      <c r="T109" s="13"/>
      <c r="U109" s="13"/>
      <c r="V109" s="13"/>
      <c r="W109" s="13"/>
      <c r="X109" s="13"/>
      <c r="Y109" s="13"/>
      <c r="Z109" s="13"/>
    </row>
    <row r="110" ht="15.75" customHeight="1">
      <c r="A110" s="13"/>
      <c r="B110" s="116" t="s">
        <v>102</v>
      </c>
      <c r="C110" s="125">
        <v>0.0</v>
      </c>
      <c r="D110" s="114">
        <f>C110/unit_two</f>
        <v>0</v>
      </c>
      <c r="E110" s="126">
        <v>0.0</v>
      </c>
      <c r="F110" s="114">
        <f>E110/unit_two</f>
        <v>0</v>
      </c>
      <c r="G110" s="115">
        <f t="shared" si="10"/>
        <v>0</v>
      </c>
      <c r="H110" s="13"/>
      <c r="I110" s="104"/>
      <c r="J110" s="95"/>
      <c r="K110" s="13"/>
      <c r="L110" s="13"/>
      <c r="M110" s="13"/>
      <c r="N110" s="13"/>
      <c r="O110" s="13"/>
      <c r="P110" s="13"/>
      <c r="Q110" s="13"/>
      <c r="R110" s="13"/>
      <c r="S110" s="13"/>
      <c r="T110" s="13"/>
      <c r="U110" s="13"/>
      <c r="V110" s="13"/>
      <c r="W110" s="13"/>
      <c r="X110" s="13"/>
      <c r="Y110" s="13"/>
      <c r="Z110" s="13"/>
    </row>
    <row r="111" ht="15.75" customHeight="1">
      <c r="A111" s="13"/>
      <c r="B111" s="117" t="s">
        <v>95</v>
      </c>
      <c r="C111" s="118">
        <f>SUM(C109:C110)</f>
        <v>2688000</v>
      </c>
      <c r="D111" s="118">
        <f>C111/unit_two</f>
        <v>21000</v>
      </c>
      <c r="E111" s="118">
        <f>SUM(E109:E110)</f>
        <v>0</v>
      </c>
      <c r="F111" s="118">
        <f>E111/unit_two</f>
        <v>0</v>
      </c>
      <c r="G111" s="118">
        <f>SUM(G109:G110)</f>
        <v>2688000</v>
      </c>
      <c r="H111" s="13"/>
      <c r="I111" s="13"/>
      <c r="J111" s="13"/>
      <c r="K111" s="13"/>
      <c r="L111" s="13"/>
      <c r="M111" s="13"/>
      <c r="N111" s="13"/>
      <c r="O111" s="13"/>
      <c r="P111" s="13"/>
      <c r="Q111" s="13"/>
      <c r="R111" s="13"/>
      <c r="S111" s="13"/>
      <c r="T111" s="13"/>
      <c r="U111" s="13"/>
      <c r="V111" s="13"/>
      <c r="W111" s="13"/>
      <c r="X111" s="13"/>
      <c r="Y111" s="13"/>
      <c r="Z111" s="13"/>
    </row>
    <row r="112" ht="15.75" customHeight="1">
      <c r="A112" s="13"/>
      <c r="B112" s="142" t="s">
        <v>545</v>
      </c>
      <c r="C112" s="121"/>
      <c r="D112" s="137"/>
      <c r="E112" s="122"/>
      <c r="F112" s="137"/>
      <c r="G112" s="122"/>
      <c r="H112" s="13"/>
      <c r="I112" s="13"/>
      <c r="J112" s="13"/>
      <c r="K112" s="13"/>
      <c r="L112" s="13"/>
      <c r="M112" s="13"/>
      <c r="N112" s="13"/>
      <c r="O112" s="13"/>
      <c r="P112" s="13"/>
      <c r="Q112" s="13"/>
      <c r="R112" s="13"/>
      <c r="S112" s="13"/>
      <c r="T112" s="13"/>
      <c r="U112" s="13"/>
      <c r="V112" s="13"/>
      <c r="W112" s="13"/>
      <c r="X112" s="13"/>
      <c r="Y112" s="13"/>
      <c r="Z112" s="13"/>
    </row>
    <row r="113" ht="15.75" customHeight="1">
      <c r="A113" s="13"/>
      <c r="B113" s="112" t="s">
        <v>140</v>
      </c>
      <c r="C113" s="113">
        <f>('Assumptions (P2)'!D174/12)*'Income &amp; Expenses (P2)'!$C$5</f>
        <v>294463.304</v>
      </c>
      <c r="D113" s="114">
        <f>C113/unit_two</f>
        <v>2300.494562</v>
      </c>
      <c r="E113" s="115">
        <v>0.0</v>
      </c>
      <c r="F113" s="114">
        <f>E113/unit_two</f>
        <v>0</v>
      </c>
      <c r="G113" s="115">
        <v>0.0</v>
      </c>
      <c r="H113" s="13"/>
      <c r="I113" s="143"/>
      <c r="J113" s="75"/>
      <c r="K113" s="13"/>
      <c r="L113" s="13"/>
      <c r="M113" s="13"/>
      <c r="N113" s="13"/>
      <c r="O113" s="13"/>
      <c r="P113" s="13"/>
      <c r="Q113" s="13"/>
      <c r="R113" s="13"/>
      <c r="S113" s="13"/>
      <c r="T113" s="13"/>
      <c r="U113" s="13"/>
      <c r="V113" s="13"/>
      <c r="W113" s="13"/>
      <c r="X113" s="13"/>
      <c r="Y113" s="13"/>
      <c r="Z113" s="13"/>
    </row>
    <row r="114" ht="15.75" customHeight="1">
      <c r="A114" s="13"/>
      <c r="B114" s="112" t="s">
        <v>141</v>
      </c>
      <c r="C114" s="113">
        <f>unit_two*'Assumptions (P2)'!D175</f>
        <v>38400</v>
      </c>
      <c r="D114" s="114">
        <f>C114/unit_two</f>
        <v>300</v>
      </c>
      <c r="E114" s="115">
        <v>0.0</v>
      </c>
      <c r="F114" s="114">
        <f>E114/unit_two</f>
        <v>0</v>
      </c>
      <c r="G114" s="115">
        <v>0.0</v>
      </c>
      <c r="H114" s="13"/>
      <c r="I114" s="104"/>
      <c r="J114" s="13"/>
      <c r="K114" s="13"/>
      <c r="L114" s="13"/>
      <c r="M114" s="13"/>
      <c r="N114" s="13"/>
      <c r="O114" s="13"/>
      <c r="P114" s="13"/>
      <c r="Q114" s="13"/>
      <c r="R114" s="13"/>
      <c r="S114" s="13"/>
      <c r="T114" s="13"/>
      <c r="U114" s="13"/>
      <c r="V114" s="13"/>
      <c r="W114" s="13"/>
      <c r="X114" s="13"/>
      <c r="Y114" s="13"/>
      <c r="Z114" s="13"/>
    </row>
    <row r="115" ht="15.75" customHeight="1">
      <c r="A115" s="13"/>
      <c r="B115" s="112" t="s">
        <v>142</v>
      </c>
      <c r="C115" s="113">
        <f>('Assumptions (P2)'!D176/12)*'Income &amp; Expenses (P2)'!$C$5</f>
        <v>147231.652</v>
      </c>
      <c r="D115" s="114">
        <f>C115/unit_two</f>
        <v>1150.247281</v>
      </c>
      <c r="E115" s="115">
        <v>0.0</v>
      </c>
      <c r="F115" s="114">
        <f>E115/unit_two</f>
        <v>0</v>
      </c>
      <c r="G115" s="115">
        <v>0.0</v>
      </c>
      <c r="H115" s="13"/>
      <c r="I115" s="104"/>
      <c r="J115" s="13"/>
      <c r="K115" s="13"/>
      <c r="L115" s="13"/>
      <c r="M115" s="13"/>
      <c r="N115" s="13"/>
      <c r="O115" s="13"/>
      <c r="P115" s="13"/>
      <c r="Q115" s="13"/>
      <c r="R115" s="13"/>
      <c r="S115" s="13"/>
      <c r="T115" s="13"/>
      <c r="U115" s="13"/>
      <c r="V115" s="13"/>
      <c r="W115" s="13"/>
      <c r="X115" s="13"/>
      <c r="Y115" s="13"/>
      <c r="Z115" s="13"/>
    </row>
    <row r="116" ht="15.75" customHeight="1">
      <c r="A116" s="13"/>
      <c r="B116" s="112" t="s">
        <v>143</v>
      </c>
      <c r="C116" s="113">
        <f>'Assumptions (P2)'!D177/12*'Income &amp; Expenses (P2)'!C114</f>
        <v>6302.729529</v>
      </c>
      <c r="D116" s="114">
        <f>C116/unit_two</f>
        <v>49.24007444</v>
      </c>
      <c r="E116" s="115">
        <v>0.0</v>
      </c>
      <c r="F116" s="114">
        <f>E116/unit_two</f>
        <v>0</v>
      </c>
      <c r="G116" s="115">
        <v>0.0</v>
      </c>
      <c r="H116" s="13"/>
      <c r="I116" s="104"/>
      <c r="J116" s="13"/>
      <c r="K116" s="13"/>
      <c r="L116" s="13"/>
      <c r="M116" s="13"/>
      <c r="N116" s="13"/>
      <c r="O116" s="13"/>
      <c r="P116" s="13"/>
      <c r="Q116" s="13"/>
      <c r="R116" s="13"/>
      <c r="S116" s="13"/>
      <c r="T116" s="13"/>
      <c r="U116" s="13"/>
      <c r="V116" s="13"/>
      <c r="W116" s="13"/>
      <c r="X116" s="13"/>
      <c r="Y116" s="13"/>
      <c r="Z116" s="13"/>
    </row>
    <row r="117" ht="15.75" customHeight="1">
      <c r="A117" s="13"/>
      <c r="B117" s="112" t="s">
        <v>144</v>
      </c>
      <c r="C117" s="113">
        <f>'Assumptions (P2)'!D178/12*'Income &amp; Expenses (P2)'!C109</f>
        <v>30103</v>
      </c>
      <c r="D117" s="114">
        <f>C117/unit_two</f>
        <v>235.1796875</v>
      </c>
      <c r="E117" s="115">
        <v>0.0</v>
      </c>
      <c r="F117" s="114">
        <f>E117/unit_two</f>
        <v>0</v>
      </c>
      <c r="G117" s="115">
        <v>0.0</v>
      </c>
      <c r="H117" s="13"/>
      <c r="I117" s="104"/>
      <c r="J117" s="13"/>
      <c r="K117" s="13"/>
      <c r="L117" s="13"/>
      <c r="M117" s="13"/>
      <c r="N117" s="13"/>
      <c r="O117" s="13"/>
      <c r="P117" s="13"/>
      <c r="Q117" s="13"/>
      <c r="R117" s="13"/>
      <c r="S117" s="13"/>
      <c r="T117" s="13"/>
      <c r="U117" s="13"/>
      <c r="V117" s="13"/>
      <c r="W117" s="13"/>
      <c r="X117" s="13"/>
      <c r="Y117" s="13"/>
      <c r="Z117" s="13"/>
    </row>
    <row r="118" ht="15.75" customHeight="1">
      <c r="A118" s="13"/>
      <c r="B118" s="112" t="s">
        <v>102</v>
      </c>
      <c r="C118" s="113">
        <f>'Assumptions (P2)'!D179</f>
        <v>0</v>
      </c>
      <c r="D118" s="114">
        <f>C118/unit_two</f>
        <v>0</v>
      </c>
      <c r="E118" s="115">
        <v>0.0</v>
      </c>
      <c r="F118" s="114">
        <f>E118/unit_two</f>
        <v>0</v>
      </c>
      <c r="G118" s="115">
        <v>0.0</v>
      </c>
      <c r="H118" s="13"/>
      <c r="I118" s="104"/>
      <c r="J118" s="13"/>
      <c r="K118" s="13"/>
      <c r="L118" s="13"/>
      <c r="M118" s="13"/>
      <c r="N118" s="13"/>
      <c r="O118" s="13"/>
      <c r="P118" s="13"/>
      <c r="Q118" s="13"/>
      <c r="R118" s="13"/>
      <c r="S118" s="13"/>
      <c r="T118" s="13"/>
      <c r="U118" s="13"/>
      <c r="V118" s="13"/>
      <c r="W118" s="13"/>
      <c r="X118" s="13"/>
      <c r="Y118" s="13"/>
      <c r="Z118" s="13"/>
    </row>
    <row r="119" ht="15.75" customHeight="1">
      <c r="A119" s="13"/>
      <c r="B119" s="112" t="s">
        <v>102</v>
      </c>
      <c r="C119" s="113">
        <f>'Assumptions (P2)'!D180</f>
        <v>0</v>
      </c>
      <c r="D119" s="114">
        <f>C119/unit_two</f>
        <v>0</v>
      </c>
      <c r="E119" s="115">
        <v>0.0</v>
      </c>
      <c r="F119" s="114">
        <f>E119/unit_two</f>
        <v>0</v>
      </c>
      <c r="G119" s="115">
        <v>0.0</v>
      </c>
      <c r="H119" s="13"/>
      <c r="I119" s="104"/>
      <c r="J119" s="95"/>
      <c r="K119" s="13"/>
      <c r="L119" s="13"/>
      <c r="M119" s="13"/>
      <c r="N119" s="13"/>
      <c r="O119" s="13"/>
      <c r="P119" s="13"/>
      <c r="Q119" s="13"/>
      <c r="R119" s="13"/>
      <c r="S119" s="13"/>
      <c r="T119" s="13"/>
      <c r="U119" s="13"/>
      <c r="V119" s="13"/>
      <c r="W119" s="13"/>
      <c r="X119" s="13"/>
      <c r="Y119" s="13"/>
      <c r="Z119" s="13"/>
    </row>
    <row r="120" ht="15.75" customHeight="1">
      <c r="A120" s="13"/>
      <c r="B120" s="112" t="s">
        <v>102</v>
      </c>
      <c r="C120" s="113">
        <f>'Assumptions (P2)'!D181</f>
        <v>0</v>
      </c>
      <c r="D120" s="114">
        <f>C120/unit_two</f>
        <v>0</v>
      </c>
      <c r="E120" s="115">
        <v>0.0</v>
      </c>
      <c r="F120" s="114">
        <f>E120/unit_two</f>
        <v>0</v>
      </c>
      <c r="G120" s="115">
        <v>0.0</v>
      </c>
      <c r="H120" s="13"/>
      <c r="I120" s="104"/>
      <c r="J120" s="95"/>
      <c r="K120" s="13"/>
      <c r="L120" s="13"/>
      <c r="M120" s="13"/>
      <c r="N120" s="13"/>
      <c r="O120" s="13"/>
      <c r="P120" s="13"/>
      <c r="Q120" s="13"/>
      <c r="R120" s="13"/>
      <c r="S120" s="13"/>
      <c r="T120" s="13"/>
      <c r="U120" s="13"/>
      <c r="V120" s="13"/>
      <c r="W120" s="13"/>
      <c r="X120" s="13"/>
      <c r="Y120" s="13"/>
      <c r="Z120" s="13"/>
    </row>
    <row r="121" ht="15.75" customHeight="1">
      <c r="A121" s="13"/>
      <c r="B121" s="116" t="s">
        <v>102</v>
      </c>
      <c r="C121" s="113">
        <f>'Assumptions (P2)'!D182</f>
        <v>0</v>
      </c>
      <c r="D121" s="114">
        <f>C121/unit_two</f>
        <v>0</v>
      </c>
      <c r="E121" s="126">
        <v>0.0</v>
      </c>
      <c r="F121" s="114">
        <f>E121/unit_two</f>
        <v>0</v>
      </c>
      <c r="G121" s="115">
        <v>0.0</v>
      </c>
      <c r="H121" s="13"/>
      <c r="I121" s="104"/>
      <c r="J121" s="95"/>
      <c r="K121" s="13"/>
      <c r="L121" s="13"/>
      <c r="M121" s="13"/>
      <c r="N121" s="13"/>
      <c r="O121" s="13"/>
      <c r="P121" s="13"/>
      <c r="Q121" s="13"/>
      <c r="R121" s="13"/>
      <c r="S121" s="13"/>
      <c r="T121" s="13"/>
      <c r="U121" s="13"/>
      <c r="V121" s="13"/>
      <c r="W121" s="13"/>
      <c r="X121" s="13"/>
      <c r="Y121" s="13"/>
      <c r="Z121" s="13"/>
    </row>
    <row r="122" ht="15.75" customHeight="1">
      <c r="A122" s="13"/>
      <c r="B122" s="117" t="s">
        <v>95</v>
      </c>
      <c r="C122" s="118">
        <f>SUM(C113:C121)</f>
        <v>516500.6855</v>
      </c>
      <c r="D122" s="118">
        <f>C122/unit_two</f>
        <v>4035.161605</v>
      </c>
      <c r="E122" s="118">
        <f>SUM(E113:E121)</f>
        <v>0</v>
      </c>
      <c r="F122" s="118">
        <f>E122/unit_two</f>
        <v>0</v>
      </c>
      <c r="G122" s="118">
        <f>SUM(G113:G121)</f>
        <v>0</v>
      </c>
      <c r="H122" s="13"/>
      <c r="I122" s="13"/>
      <c r="J122" s="13"/>
      <c r="K122" s="13"/>
      <c r="L122" s="13"/>
      <c r="M122" s="13"/>
      <c r="N122" s="13"/>
      <c r="O122" s="13"/>
      <c r="P122" s="13"/>
      <c r="Q122" s="13"/>
      <c r="R122" s="13"/>
      <c r="S122" s="13"/>
      <c r="T122" s="13"/>
      <c r="U122" s="13"/>
      <c r="V122" s="13"/>
      <c r="W122" s="13"/>
      <c r="X122" s="13"/>
      <c r="Y122" s="13"/>
      <c r="Z122" s="13"/>
    </row>
    <row r="123" ht="15.75" customHeight="1">
      <c r="A123" s="13"/>
      <c r="B123" s="127" t="s">
        <v>145</v>
      </c>
      <c r="C123" s="144">
        <f>C64+C78+C92+C104+C111+C122</f>
        <v>8496344.124</v>
      </c>
      <c r="D123" s="144">
        <f>C123/unit_two</f>
        <v>66377.68847</v>
      </c>
      <c r="E123" s="144">
        <f>E64+E78+E92+E104+E111+E122</f>
        <v>0</v>
      </c>
      <c r="F123" s="144">
        <f>E123/unit_two</f>
        <v>0</v>
      </c>
      <c r="G123" s="144">
        <f>G64+G78+G92+G104+G111+G122</f>
        <v>7576158.413</v>
      </c>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145"/>
      <c r="C124" s="146"/>
      <c r="D124" s="146"/>
      <c r="E124" s="146"/>
      <c r="F124" s="146"/>
      <c r="G124" s="146"/>
      <c r="H124" s="13"/>
      <c r="I124" s="34"/>
      <c r="J124" s="13"/>
      <c r="K124" s="13"/>
      <c r="L124" s="13"/>
      <c r="M124" s="13"/>
      <c r="N124" s="13"/>
      <c r="O124" s="13"/>
      <c r="P124" s="13"/>
      <c r="Q124" s="13"/>
      <c r="R124" s="13"/>
      <c r="S124" s="13"/>
      <c r="T124" s="13"/>
      <c r="U124" s="13"/>
      <c r="V124" s="13"/>
      <c r="W124" s="13"/>
      <c r="X124" s="13"/>
      <c r="Y124" s="13"/>
      <c r="Z124" s="13"/>
    </row>
    <row r="125" ht="15.75" customHeight="1">
      <c r="A125" s="13"/>
      <c r="B125" s="127" t="s">
        <v>146</v>
      </c>
      <c r="C125" s="128">
        <f>C44+C53+C64+C78+C92+C104+C111+C122</f>
        <v>35623633.49</v>
      </c>
      <c r="D125" s="147">
        <f>C125/unit_two</f>
        <v>278309.6367</v>
      </c>
      <c r="E125" s="128">
        <f>E44+E53+E64+E78+E92+E104+E111+E122</f>
        <v>0</v>
      </c>
      <c r="F125" s="147">
        <f>E125/unit_two</f>
        <v>0</v>
      </c>
      <c r="G125" s="128">
        <f>G44+G53+G64+G78+G92+G104+G111+G122</f>
        <v>33275694.03</v>
      </c>
      <c r="H125" s="13"/>
      <c r="I125" s="75"/>
      <c r="J125" s="13"/>
      <c r="K125" s="13"/>
      <c r="L125" s="13"/>
      <c r="M125" s="13"/>
      <c r="N125" s="13"/>
      <c r="O125" s="13"/>
      <c r="P125" s="13"/>
      <c r="Q125" s="13"/>
      <c r="R125" s="13"/>
      <c r="S125" s="13"/>
      <c r="T125" s="13"/>
      <c r="U125" s="13"/>
      <c r="V125" s="13"/>
      <c r="W125" s="13"/>
      <c r="X125" s="13"/>
      <c r="Y125" s="13"/>
      <c r="Z125" s="13"/>
    </row>
    <row r="126" ht="15.75" customHeight="1">
      <c r="A126" s="13"/>
      <c r="B126" s="62"/>
      <c r="C126" s="34"/>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5.75" customHeight="1">
      <c r="A127" s="13"/>
      <c r="B127" s="60" t="s">
        <v>147</v>
      </c>
      <c r="C127" s="37"/>
      <c r="D127" s="37"/>
      <c r="E127" s="37"/>
      <c r="F127" s="37"/>
      <c r="G127" s="37"/>
      <c r="H127" s="37"/>
      <c r="I127" s="37"/>
      <c r="J127" s="37"/>
      <c r="K127" s="13"/>
      <c r="L127" s="13"/>
      <c r="M127" s="13"/>
      <c r="N127" s="13"/>
      <c r="O127" s="13"/>
      <c r="P127" s="13"/>
      <c r="Q127" s="13"/>
      <c r="R127" s="13"/>
      <c r="S127" s="13"/>
      <c r="T127" s="13"/>
      <c r="U127" s="13"/>
      <c r="V127" s="13"/>
      <c r="W127" s="13"/>
      <c r="X127" s="13"/>
      <c r="Y127" s="13"/>
      <c r="Z127" s="13"/>
    </row>
    <row r="128" ht="15.75" customHeight="1">
      <c r="A128" s="13"/>
      <c r="B128" s="62"/>
      <c r="C128" s="34"/>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5.75" customHeight="1">
      <c r="A129" s="13"/>
      <c r="B129" s="149" t="s">
        <v>148</v>
      </c>
      <c r="C129" s="37"/>
      <c r="D129" s="37"/>
      <c r="E129" s="37"/>
      <c r="F129" s="37"/>
      <c r="G129" s="37"/>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50" t="s">
        <v>149</v>
      </c>
      <c r="C130" s="152">
        <v>0.09</v>
      </c>
      <c r="D130" s="13"/>
      <c r="F130" s="13"/>
      <c r="G130" s="13"/>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257"/>
      <c r="C131" s="416"/>
      <c r="D131" s="13"/>
      <c r="F131" s="13"/>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417" t="s">
        <v>162</v>
      </c>
      <c r="C132" s="418"/>
      <c r="D132" s="13"/>
      <c r="F132" s="13"/>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230" t="s">
        <v>150</v>
      </c>
      <c r="C133" s="419">
        <f>G125</f>
        <v>33275694.03</v>
      </c>
      <c r="D133" s="13"/>
      <c r="F133" s="13"/>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230" t="s">
        <v>151</v>
      </c>
      <c r="C134" s="420">
        <v>1.0</v>
      </c>
      <c r="D134" s="13"/>
      <c r="F134" s="13"/>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230" t="s">
        <v>152</v>
      </c>
      <c r="C135" s="331">
        <f>C133*C134</f>
        <v>33275694.03</v>
      </c>
      <c r="D135" s="95"/>
      <c r="F135" s="13"/>
      <c r="G135" s="13"/>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230" t="s">
        <v>153</v>
      </c>
      <c r="C136" s="331">
        <f>IF(G136="Yes",C135*1.3,C135)</f>
        <v>33275694.03</v>
      </c>
      <c r="D136" s="13"/>
      <c r="F136" s="164" t="s">
        <v>154</v>
      </c>
      <c r="G136" s="165" t="s">
        <v>155</v>
      </c>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230" t="s">
        <v>156</v>
      </c>
      <c r="C137" s="421">
        <v>0.09</v>
      </c>
      <c r="D137" s="13"/>
      <c r="F137" s="168"/>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53" t="s">
        <v>157</v>
      </c>
      <c r="C138" s="422">
        <f>C136*C137</f>
        <v>2994812.463</v>
      </c>
      <c r="D138" s="13"/>
      <c r="F138" s="168"/>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423" t="s">
        <v>546</v>
      </c>
      <c r="C139" s="424">
        <f>C138</f>
        <v>2994812.463</v>
      </c>
      <c r="D139" s="13"/>
      <c r="F139" s="168"/>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230"/>
      <c r="C140" s="331"/>
      <c r="D140" s="13"/>
      <c r="F140" s="171"/>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423" t="s">
        <v>168</v>
      </c>
      <c r="C141" s="425"/>
      <c r="D141" s="13"/>
      <c r="F141" s="426"/>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230" t="s">
        <v>169</v>
      </c>
      <c r="C142" s="427">
        <f>C125</f>
        <v>35623633.49</v>
      </c>
      <c r="D142" s="13"/>
      <c r="F142" s="426"/>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53" t="s">
        <v>170</v>
      </c>
      <c r="C143" s="428">
        <f>C5+C7+C8+C9+C10+C11+C12+C13+C14</f>
        <v>12344000</v>
      </c>
      <c r="D143" s="13"/>
      <c r="F143" s="426"/>
      <c r="G143" s="13"/>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230" t="s">
        <v>171</v>
      </c>
      <c r="C144" s="331">
        <f>C142-C143</f>
        <v>23279633.49</v>
      </c>
      <c r="D144" s="13"/>
      <c r="F144" s="426"/>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230" t="s">
        <v>172</v>
      </c>
      <c r="C145" s="419">
        <v>10.0</v>
      </c>
      <c r="D145" s="13"/>
      <c r="F145" s="426"/>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230" t="s">
        <v>173</v>
      </c>
      <c r="C146" s="331">
        <f>C144/C145</f>
        <v>2327963.349</v>
      </c>
      <c r="D146" s="13"/>
      <c r="F146" s="426"/>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230" t="s">
        <v>174</v>
      </c>
      <c r="C147" s="429">
        <v>0.86</v>
      </c>
      <c r="D147" s="13"/>
      <c r="F147" s="426"/>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53" t="s">
        <v>175</v>
      </c>
      <c r="C148" s="422">
        <f>C146/C147</f>
        <v>2706934.127</v>
      </c>
      <c r="D148" s="13"/>
      <c r="F148" s="426"/>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423" t="s">
        <v>547</v>
      </c>
      <c r="C149" s="424">
        <f>C148</f>
        <v>2706934.127</v>
      </c>
      <c r="D149" s="13"/>
      <c r="F149" s="426"/>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430" t="s">
        <v>548</v>
      </c>
      <c r="C150" s="431">
        <v>1400000.0</v>
      </c>
      <c r="D150" s="13"/>
      <c r="F150" s="426"/>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432"/>
      <c r="C151" s="433"/>
      <c r="D151" s="13"/>
      <c r="F151" s="426"/>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95" t="s">
        <v>549</v>
      </c>
      <c r="C152" s="434">
        <f>MAX(MIN(C149,C139,C150),0)</f>
        <v>1400000</v>
      </c>
      <c r="D152" s="13"/>
      <c r="F152" s="426"/>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230" t="s">
        <v>159</v>
      </c>
      <c r="C153" s="429">
        <f>C147</f>
        <v>0.86</v>
      </c>
      <c r="D153" s="13"/>
      <c r="F153" s="13"/>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97" t="s">
        <v>160</v>
      </c>
      <c r="C154" s="435">
        <f>C152*C153*C145</f>
        <v>12040000</v>
      </c>
      <c r="D154" s="177"/>
      <c r="F154" s="13"/>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3"/>
      <c r="C155" s="34"/>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c r="C156" s="34"/>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78" t="s">
        <v>550</v>
      </c>
      <c r="C157" s="37"/>
      <c r="D157" s="37"/>
      <c r="E157" s="37"/>
      <c r="F157" s="37"/>
      <c r="G157" s="37"/>
      <c r="H157" s="13"/>
      <c r="I157" s="13"/>
      <c r="J157" s="13"/>
      <c r="K157" s="13"/>
      <c r="L157" s="13"/>
      <c r="M157" s="13"/>
      <c r="N157" s="13"/>
      <c r="O157" s="13"/>
      <c r="P157" s="13"/>
      <c r="Q157" s="13"/>
      <c r="R157" s="13"/>
      <c r="S157" s="13"/>
      <c r="T157" s="13"/>
      <c r="U157" s="13"/>
      <c r="V157" s="13"/>
      <c r="W157" s="13"/>
      <c r="X157" s="13"/>
      <c r="Y157" s="13"/>
      <c r="Z157" s="13"/>
    </row>
    <row r="158" ht="15.75" customHeight="1">
      <c r="A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79" t="s">
        <v>551</v>
      </c>
      <c r="C159" s="436" t="s">
        <v>552</v>
      </c>
      <c r="D159" s="436" t="s">
        <v>553</v>
      </c>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t="s">
        <v>554</v>
      </c>
      <c r="C160" s="13">
        <v>5.0</v>
      </c>
      <c r="D160" s="437">
        <v>0.0</v>
      </c>
      <c r="F160" s="13"/>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t="s">
        <v>555</v>
      </c>
      <c r="C161" s="13">
        <v>25.0</v>
      </c>
      <c r="D161" s="437">
        <v>25.0</v>
      </c>
      <c r="F161" s="13"/>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3" t="s">
        <v>556</v>
      </c>
      <c r="C162" s="13">
        <v>12.0</v>
      </c>
      <c r="D162" s="437">
        <v>0.0</v>
      </c>
      <c r="E162" s="95"/>
      <c r="F162" s="13"/>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3" t="s">
        <v>557</v>
      </c>
      <c r="C163" s="13">
        <v>5.0</v>
      </c>
      <c r="D163" s="437">
        <v>5.0</v>
      </c>
      <c r="F163" s="13"/>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3" t="s">
        <v>558</v>
      </c>
      <c r="C164" s="13">
        <v>63.0</v>
      </c>
      <c r="D164" s="437">
        <v>62.0</v>
      </c>
      <c r="F164" s="13"/>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t="s">
        <v>559</v>
      </c>
      <c r="C165" s="13">
        <v>15.0</v>
      </c>
      <c r="D165" s="437">
        <v>15.0</v>
      </c>
      <c r="E165" s="95"/>
      <c r="F165" s="13"/>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3" t="s">
        <v>560</v>
      </c>
      <c r="C166" s="13">
        <v>5.0</v>
      </c>
      <c r="D166" s="437">
        <v>5.0</v>
      </c>
      <c r="F166" s="13"/>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3" t="s">
        <v>561</v>
      </c>
      <c r="C167" s="13">
        <v>25.0</v>
      </c>
      <c r="D167" s="437">
        <v>0.0</v>
      </c>
      <c r="F167" s="13"/>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t="s">
        <v>562</v>
      </c>
      <c r="C168" s="13">
        <v>18.0</v>
      </c>
      <c r="D168" s="437">
        <v>18.0</v>
      </c>
      <c r="F168" s="13"/>
      <c r="G168" s="13"/>
      <c r="H168" s="13"/>
      <c r="I168" s="13"/>
      <c r="J168" s="13"/>
      <c r="K168" s="375" t="s">
        <v>563</v>
      </c>
      <c r="L168" s="13"/>
      <c r="M168" s="13"/>
      <c r="N168" s="13"/>
      <c r="O168" s="13"/>
      <c r="P168" s="13"/>
      <c r="Q168" s="13"/>
      <c r="R168" s="13"/>
      <c r="S168" s="13"/>
      <c r="T168" s="13"/>
      <c r="U168" s="13"/>
      <c r="V168" s="13"/>
      <c r="W168" s="13"/>
      <c r="X168" s="13"/>
      <c r="Y168" s="13"/>
      <c r="Z168" s="13"/>
    </row>
    <row r="169" ht="15.75" customHeight="1">
      <c r="A169" s="13"/>
      <c r="B169" s="13" t="s">
        <v>564</v>
      </c>
      <c r="C169" s="13">
        <v>36.0</v>
      </c>
      <c r="D169" s="437">
        <f t="array" ref="D169">INDEX(M170:M176,MATCH(1,J170:J176,0))</f>
        <v>36</v>
      </c>
      <c r="E169" s="438">
        <f>C154*0.86/C125</f>
        <v>0.2906609737</v>
      </c>
      <c r="F169" s="439" t="s">
        <v>565</v>
      </c>
      <c r="G169" s="13"/>
      <c r="H169" s="13"/>
      <c r="I169" s="13"/>
      <c r="J169" s="440"/>
      <c r="K169" s="441" t="s">
        <v>566</v>
      </c>
      <c r="L169" s="442" t="s">
        <v>567</v>
      </c>
      <c r="M169" s="441" t="s">
        <v>568</v>
      </c>
      <c r="N169" s="13"/>
      <c r="O169" s="13"/>
      <c r="P169" s="13"/>
      <c r="Q169" s="13"/>
      <c r="R169" s="13"/>
      <c r="S169" s="13"/>
      <c r="T169" s="13"/>
      <c r="U169" s="13"/>
      <c r="V169" s="13"/>
      <c r="W169" s="13"/>
      <c r="X169" s="13"/>
      <c r="Y169" s="13"/>
      <c r="Z169" s="13"/>
    </row>
    <row r="170" ht="15.75" customHeight="1">
      <c r="A170" s="13"/>
      <c r="B170" s="13" t="s">
        <v>569</v>
      </c>
      <c r="C170" s="13">
        <v>3.0</v>
      </c>
      <c r="D170" s="437">
        <v>0.0</v>
      </c>
      <c r="F170" s="13"/>
      <c r="G170" s="13"/>
      <c r="H170" s="13"/>
      <c r="I170" s="13"/>
      <c r="J170" s="440">
        <f t="shared" ref="J170:J176" si="11">IF(AND($E$169&gt;K170,$E$169&lt;=L170),1,0)</f>
        <v>1</v>
      </c>
      <c r="K170" s="138">
        <v>0.0</v>
      </c>
      <c r="L170" s="443">
        <v>0.58</v>
      </c>
      <c r="M170" s="13">
        <v>36.0</v>
      </c>
      <c r="N170" s="13"/>
      <c r="O170" s="13"/>
      <c r="P170" s="13"/>
      <c r="Q170" s="13"/>
      <c r="R170" s="13"/>
      <c r="S170" s="13"/>
      <c r="T170" s="13"/>
      <c r="U170" s="13"/>
      <c r="V170" s="13"/>
      <c r="W170" s="13"/>
      <c r="X170" s="13"/>
      <c r="Y170" s="13"/>
      <c r="Z170" s="13"/>
    </row>
    <row r="171" ht="15.75" customHeight="1">
      <c r="A171" s="13"/>
      <c r="B171" s="13" t="s">
        <v>570</v>
      </c>
      <c r="C171" s="13">
        <v>8.0</v>
      </c>
      <c r="D171" s="437">
        <v>8.0</v>
      </c>
      <c r="F171" s="13"/>
      <c r="G171" s="13"/>
      <c r="H171" s="13"/>
      <c r="I171" s="13"/>
      <c r="J171" s="440">
        <f t="shared" si="11"/>
        <v>0</v>
      </c>
      <c r="K171" s="138">
        <f t="shared" ref="K171:K176" si="12">L170</f>
        <v>0.58</v>
      </c>
      <c r="L171" s="443">
        <v>0.61</v>
      </c>
      <c r="M171" s="13">
        <v>34.0</v>
      </c>
      <c r="N171" s="13"/>
      <c r="O171" s="13"/>
      <c r="P171" s="13"/>
      <c r="Q171" s="13"/>
      <c r="R171" s="13"/>
      <c r="S171" s="13"/>
      <c r="T171" s="13"/>
      <c r="U171" s="13"/>
      <c r="V171" s="13"/>
      <c r="W171" s="13"/>
      <c r="X171" s="13"/>
      <c r="Y171" s="13"/>
      <c r="Z171" s="13"/>
    </row>
    <row r="172" ht="15.75" customHeight="1">
      <c r="A172" s="13"/>
      <c r="B172" s="13" t="s">
        <v>571</v>
      </c>
      <c r="C172" s="13">
        <v>28.0</v>
      </c>
      <c r="D172" s="437">
        <v>18.0</v>
      </c>
      <c r="F172" s="13"/>
      <c r="G172" s="13"/>
      <c r="H172" s="13"/>
      <c r="I172" s="13"/>
      <c r="J172" s="440">
        <f t="shared" si="11"/>
        <v>0</v>
      </c>
      <c r="K172" s="138">
        <f t="shared" si="12"/>
        <v>0.61</v>
      </c>
      <c r="L172" s="443">
        <v>0.64</v>
      </c>
      <c r="M172" s="13">
        <v>32.0</v>
      </c>
      <c r="N172" s="13"/>
      <c r="O172" s="13"/>
      <c r="P172" s="13"/>
      <c r="Q172" s="13"/>
      <c r="R172" s="13"/>
      <c r="S172" s="13"/>
      <c r="T172" s="13"/>
      <c r="U172" s="13"/>
      <c r="V172" s="13"/>
      <c r="W172" s="13"/>
      <c r="X172" s="13"/>
      <c r="Y172" s="13"/>
      <c r="Z172" s="13"/>
    </row>
    <row r="173" ht="15.75" customHeight="1">
      <c r="A173" s="13"/>
      <c r="B173" s="13" t="s">
        <v>572</v>
      </c>
      <c r="C173" s="13">
        <v>8.0</v>
      </c>
      <c r="D173" s="437">
        <v>0.0</v>
      </c>
      <c r="F173" s="13"/>
      <c r="G173" s="13"/>
      <c r="H173" s="13"/>
      <c r="I173" s="13"/>
      <c r="J173" s="440">
        <f t="shared" si="11"/>
        <v>0</v>
      </c>
      <c r="K173" s="138">
        <f t="shared" si="12"/>
        <v>0.64</v>
      </c>
      <c r="L173" s="443">
        <v>0.67</v>
      </c>
      <c r="M173" s="13">
        <v>30.0</v>
      </c>
      <c r="N173" s="13"/>
      <c r="O173" s="13"/>
      <c r="P173" s="13"/>
      <c r="Q173" s="13"/>
      <c r="R173" s="13"/>
      <c r="S173" s="13"/>
      <c r="T173" s="13"/>
      <c r="U173" s="13"/>
      <c r="V173" s="13"/>
      <c r="W173" s="13"/>
      <c r="X173" s="13"/>
      <c r="Y173" s="13"/>
      <c r="Z173" s="13"/>
    </row>
    <row r="174" ht="15.75" customHeight="1">
      <c r="A174" s="13"/>
      <c r="B174" s="13" t="s">
        <v>573</v>
      </c>
      <c r="C174" s="13">
        <v>12.0</v>
      </c>
      <c r="D174" s="437">
        <v>10.0</v>
      </c>
      <c r="F174" s="13"/>
      <c r="G174" s="13"/>
      <c r="H174" s="13"/>
      <c r="I174" s="13"/>
      <c r="J174" s="440">
        <f t="shared" si="11"/>
        <v>0</v>
      </c>
      <c r="K174" s="138">
        <f t="shared" si="12"/>
        <v>0.67</v>
      </c>
      <c r="L174" s="443">
        <v>0.7</v>
      </c>
      <c r="M174" s="13">
        <v>28.0</v>
      </c>
      <c r="N174" s="13"/>
      <c r="O174" s="13"/>
      <c r="P174" s="13"/>
      <c r="Q174" s="13"/>
      <c r="R174" s="13"/>
      <c r="S174" s="13"/>
      <c r="T174" s="13"/>
      <c r="U174" s="13"/>
      <c r="V174" s="13"/>
      <c r="W174" s="13"/>
      <c r="X174" s="13"/>
      <c r="Y174" s="13"/>
      <c r="Z174" s="13"/>
    </row>
    <row r="175" ht="15.75" customHeight="1">
      <c r="A175" s="13"/>
      <c r="B175" s="182" t="s">
        <v>574</v>
      </c>
      <c r="C175" s="182">
        <v>5.0</v>
      </c>
      <c r="D175" s="444">
        <v>0.0</v>
      </c>
      <c r="F175" s="13"/>
      <c r="G175" s="13"/>
      <c r="H175" s="13"/>
      <c r="I175" s="13"/>
      <c r="J175" s="440">
        <f t="shared" si="11"/>
        <v>0</v>
      </c>
      <c r="K175" s="138">
        <f t="shared" si="12"/>
        <v>0.7</v>
      </c>
      <c r="L175" s="443">
        <v>0.73</v>
      </c>
      <c r="M175" s="13">
        <v>26.0</v>
      </c>
      <c r="N175" s="13"/>
      <c r="O175" s="13"/>
      <c r="P175" s="13"/>
      <c r="Q175" s="13"/>
      <c r="R175" s="13"/>
      <c r="S175" s="13"/>
      <c r="T175" s="13"/>
      <c r="U175" s="13"/>
      <c r="V175" s="13"/>
      <c r="W175" s="13"/>
      <c r="X175" s="13"/>
      <c r="Y175" s="13"/>
      <c r="Z175" s="13"/>
    </row>
    <row r="176" ht="15.75" customHeight="1">
      <c r="A176" s="13"/>
      <c r="B176" s="15" t="s">
        <v>407</v>
      </c>
      <c r="C176" s="13">
        <f t="shared" ref="C176:D176" si="13">SUM(C160:C175)</f>
        <v>273</v>
      </c>
      <c r="D176" s="15">
        <f t="shared" si="13"/>
        <v>202</v>
      </c>
      <c r="F176" s="13"/>
      <c r="G176" s="13"/>
      <c r="H176" s="13"/>
      <c r="I176" s="13"/>
      <c r="J176" s="440">
        <f t="shared" si="11"/>
        <v>0</v>
      </c>
      <c r="K176" s="138">
        <f t="shared" si="12"/>
        <v>0.73</v>
      </c>
      <c r="L176" s="443">
        <v>1.0</v>
      </c>
      <c r="M176" s="13">
        <v>0.0</v>
      </c>
      <c r="N176" s="13"/>
      <c r="O176" s="13"/>
      <c r="P176" s="13"/>
      <c r="Q176" s="13"/>
      <c r="R176" s="13"/>
      <c r="S176" s="13"/>
      <c r="T176" s="13"/>
      <c r="U176" s="13"/>
      <c r="V176" s="13"/>
      <c r="W176" s="13"/>
      <c r="X176" s="13"/>
      <c r="Y176" s="13"/>
      <c r="Z176" s="13"/>
    </row>
    <row r="177" ht="15.75" customHeight="1">
      <c r="A177" s="13"/>
      <c r="B177" s="95" t="s">
        <v>575</v>
      </c>
      <c r="C177" s="95">
        <v>120.0</v>
      </c>
      <c r="D177" s="445" t="str">
        <f>IF(D176&gt;=C177,"Threshold Hit","Below Threshold")</f>
        <v>Threshold Hit</v>
      </c>
      <c r="E177" s="13"/>
      <c r="F177" s="13"/>
      <c r="G177" s="13"/>
      <c r="H177" s="13"/>
      <c r="I177" s="13"/>
      <c r="J177" s="13"/>
      <c r="K177" s="138"/>
      <c r="L177" s="13"/>
      <c r="M177" s="13"/>
      <c r="N177" s="13"/>
      <c r="O177" s="13"/>
      <c r="P177" s="13"/>
      <c r="Q177" s="13"/>
      <c r="R177" s="13"/>
      <c r="S177" s="13"/>
      <c r="T177" s="13"/>
      <c r="U177" s="13"/>
      <c r="V177" s="13"/>
      <c r="W177" s="13"/>
      <c r="X177" s="13"/>
      <c r="Y177" s="13"/>
      <c r="Z177" s="13"/>
    </row>
    <row r="178" ht="15.75" customHeight="1">
      <c r="A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D180" s="58"/>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F181" s="13"/>
      <c r="G181" s="13"/>
      <c r="H181" s="13"/>
      <c r="I181" s="13"/>
      <c r="J181" s="13"/>
      <c r="N181" s="13"/>
      <c r="O181" s="13"/>
      <c r="P181" s="13"/>
      <c r="Q181" s="13"/>
      <c r="R181" s="13"/>
      <c r="S181" s="13"/>
      <c r="T181" s="13"/>
      <c r="U181" s="13"/>
      <c r="V181" s="13"/>
      <c r="W181" s="13"/>
      <c r="X181" s="13"/>
      <c r="Y181" s="13"/>
      <c r="Z181" s="13"/>
    </row>
    <row r="182" ht="15.75" customHeight="1">
      <c r="A182" s="13"/>
      <c r="B182" s="13"/>
      <c r="F182" s="13"/>
      <c r="G182" s="13"/>
      <c r="H182" s="13"/>
      <c r="I182" s="13"/>
      <c r="J182" s="13"/>
      <c r="N182" s="13"/>
      <c r="O182" s="13"/>
      <c r="P182" s="13"/>
      <c r="Q182" s="13"/>
      <c r="R182" s="13"/>
      <c r="S182" s="13"/>
      <c r="T182" s="13"/>
      <c r="U182" s="13"/>
      <c r="V182" s="13"/>
      <c r="W182" s="13"/>
      <c r="X182" s="13"/>
      <c r="Y182" s="13"/>
      <c r="Z182" s="13"/>
    </row>
    <row r="183" ht="15.75" customHeight="1">
      <c r="A183" s="13"/>
      <c r="B183" s="13"/>
      <c r="C183" s="34"/>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34"/>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34"/>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34"/>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34"/>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34"/>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34"/>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34"/>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34"/>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34"/>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34"/>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34"/>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34"/>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34"/>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34"/>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34"/>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34"/>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34"/>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34"/>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34"/>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34"/>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34"/>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34"/>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34"/>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34"/>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34"/>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34"/>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34"/>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34"/>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34"/>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34"/>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34"/>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34"/>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34"/>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34"/>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34"/>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34"/>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34"/>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5.75" customHeight="1">
      <c r="A221" s="13"/>
      <c r="B221" s="13"/>
      <c r="C221" s="34"/>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5.75" customHeight="1">
      <c r="A222" s="13"/>
      <c r="B222" s="13"/>
      <c r="C222" s="34"/>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5.75" customHeight="1">
      <c r="A223" s="13"/>
      <c r="B223" s="13"/>
      <c r="C223" s="34"/>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5.75" customHeight="1">
      <c r="A224" s="13"/>
      <c r="B224" s="13"/>
      <c r="C224" s="34"/>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5.75" customHeight="1">
      <c r="A225" s="13"/>
      <c r="B225" s="13"/>
      <c r="C225" s="34"/>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5.75" customHeight="1">
      <c r="A226" s="13"/>
      <c r="B226" s="13"/>
      <c r="C226" s="34"/>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5.75" customHeight="1">
      <c r="A227" s="13"/>
      <c r="B227" s="13"/>
      <c r="C227" s="34"/>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5.75" customHeight="1">
      <c r="A228" s="13"/>
      <c r="B228" s="13"/>
      <c r="C228" s="34"/>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5.75" customHeight="1">
      <c r="A229" s="13"/>
      <c r="B229" s="13"/>
      <c r="C229" s="34"/>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5.75" customHeight="1">
      <c r="A230" s="13"/>
      <c r="B230" s="13"/>
      <c r="C230" s="34"/>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5.75" customHeight="1">
      <c r="A231" s="13"/>
      <c r="B231" s="13"/>
      <c r="C231" s="34"/>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5.75" customHeight="1">
      <c r="A232" s="13"/>
      <c r="B232" s="13"/>
      <c r="C232" s="34"/>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5.75" customHeight="1">
      <c r="A233" s="13"/>
      <c r="B233" s="13"/>
      <c r="C233" s="34"/>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5.75" customHeight="1">
      <c r="A234" s="13"/>
      <c r="B234" s="13"/>
      <c r="C234" s="34"/>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5.75" customHeight="1">
      <c r="A235" s="13"/>
      <c r="B235" s="13"/>
      <c r="C235" s="34"/>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5.75" customHeight="1">
      <c r="A236" s="13"/>
      <c r="B236" s="13"/>
      <c r="C236" s="34"/>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5.75" customHeight="1">
      <c r="A237" s="13"/>
      <c r="B237" s="13"/>
      <c r="C237" s="34"/>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5.75" customHeight="1">
      <c r="A238" s="13"/>
      <c r="B238" s="13"/>
      <c r="C238" s="34"/>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5.75" customHeight="1">
      <c r="A239" s="13"/>
      <c r="B239" s="13"/>
      <c r="C239" s="34"/>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5.75" customHeight="1">
      <c r="A240" s="13"/>
      <c r="B240" s="13"/>
      <c r="C240" s="34"/>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5.75" customHeight="1">
      <c r="A241" s="13"/>
      <c r="B241" s="13"/>
      <c r="C241" s="34"/>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5.75" customHeight="1">
      <c r="A242" s="13"/>
      <c r="B242" s="13"/>
      <c r="C242" s="34"/>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5.75" customHeight="1">
      <c r="A243" s="13"/>
      <c r="B243" s="13"/>
      <c r="C243" s="34"/>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5.75" customHeight="1">
      <c r="A244" s="13"/>
      <c r="B244" s="13"/>
      <c r="C244" s="34"/>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5.75" customHeight="1">
      <c r="A245" s="13"/>
      <c r="B245" s="13"/>
      <c r="C245" s="34"/>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5.75" customHeight="1">
      <c r="A246" s="13"/>
      <c r="B246" s="13"/>
      <c r="C246" s="34"/>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5.75" customHeight="1">
      <c r="A247" s="13"/>
      <c r="B247" s="13"/>
      <c r="C247" s="34"/>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5.75" customHeight="1">
      <c r="A248" s="13"/>
      <c r="B248" s="13"/>
      <c r="C248" s="34"/>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5.75" customHeight="1">
      <c r="A249" s="13"/>
      <c r="B249" s="13"/>
      <c r="C249" s="34"/>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5.75" customHeight="1">
      <c r="A250" s="13"/>
      <c r="B250" s="13"/>
      <c r="C250" s="34"/>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5.75" customHeight="1">
      <c r="A251" s="13"/>
      <c r="B251" s="13"/>
      <c r="C251" s="34"/>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5.75" customHeight="1">
      <c r="A252" s="13"/>
      <c r="B252" s="13"/>
      <c r="C252" s="34"/>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5.75" customHeight="1">
      <c r="A253" s="13"/>
      <c r="B253" s="13"/>
      <c r="C253" s="34"/>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5.75" customHeight="1">
      <c r="A254" s="13"/>
      <c r="B254" s="13"/>
      <c r="C254" s="34"/>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5.75" customHeight="1">
      <c r="A255" s="13"/>
      <c r="B255" s="13"/>
      <c r="C255" s="34"/>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5.75" customHeight="1">
      <c r="A256" s="13"/>
      <c r="B256" s="13"/>
      <c r="C256" s="34"/>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5.75" customHeight="1">
      <c r="A257" s="13"/>
      <c r="B257" s="13"/>
      <c r="C257" s="34"/>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5.75" customHeight="1">
      <c r="A258" s="13"/>
      <c r="B258" s="13"/>
      <c r="C258" s="34"/>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5.75" customHeight="1">
      <c r="A259" s="13"/>
      <c r="B259" s="13"/>
      <c r="C259" s="34"/>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5.75" customHeight="1">
      <c r="A260" s="13"/>
      <c r="B260" s="13"/>
      <c r="C260" s="34"/>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5.75" customHeight="1">
      <c r="A261" s="13"/>
      <c r="B261" s="13"/>
      <c r="C261" s="34"/>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5.75" customHeight="1">
      <c r="A262" s="13"/>
      <c r="B262" s="13"/>
      <c r="C262" s="34"/>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5.75" customHeight="1">
      <c r="A263" s="13"/>
      <c r="B263" s="13"/>
      <c r="C263" s="34"/>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5.75" customHeight="1">
      <c r="A264" s="13"/>
      <c r="B264" s="13"/>
      <c r="C264" s="34"/>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5.75" customHeight="1">
      <c r="A265" s="13"/>
      <c r="B265" s="13"/>
      <c r="C265" s="34"/>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5.75" customHeight="1">
      <c r="A266" s="13"/>
      <c r="B266" s="13"/>
      <c r="C266" s="34"/>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5.75" customHeight="1">
      <c r="A267" s="13"/>
      <c r="B267" s="13"/>
      <c r="C267" s="34"/>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5.75" customHeight="1">
      <c r="A268" s="13"/>
      <c r="B268" s="13"/>
      <c r="C268" s="34"/>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5.75" customHeight="1">
      <c r="A269" s="13"/>
      <c r="B269" s="13"/>
      <c r="C269" s="34"/>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5.75" customHeight="1">
      <c r="A270" s="13"/>
      <c r="B270" s="13"/>
      <c r="C270" s="34"/>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5.75" customHeight="1">
      <c r="A271" s="13"/>
      <c r="B271" s="13"/>
      <c r="C271" s="34"/>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5.75" customHeight="1">
      <c r="A272" s="13"/>
      <c r="B272" s="13"/>
      <c r="C272" s="34"/>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5.75" customHeight="1">
      <c r="A273" s="13"/>
      <c r="B273" s="13"/>
      <c r="C273" s="34"/>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5.75" customHeight="1">
      <c r="A274" s="13"/>
      <c r="B274" s="13"/>
      <c r="C274" s="34"/>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5.75" customHeight="1">
      <c r="A275" s="13"/>
      <c r="B275" s="13"/>
      <c r="C275" s="34"/>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5.75" customHeight="1">
      <c r="A276" s="13"/>
      <c r="B276" s="13"/>
      <c r="C276" s="34"/>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5.75" customHeight="1">
      <c r="A277" s="13"/>
      <c r="B277" s="13"/>
      <c r="C277" s="34"/>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5.75" customHeight="1">
      <c r="A278" s="13"/>
      <c r="B278" s="13"/>
      <c r="C278" s="34"/>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5.75" customHeight="1">
      <c r="A279" s="13"/>
      <c r="B279" s="13"/>
      <c r="C279" s="34"/>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5.75" customHeight="1">
      <c r="A280" s="13"/>
      <c r="B280" s="13"/>
      <c r="C280" s="34"/>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5.75" customHeight="1">
      <c r="A281" s="13"/>
      <c r="B281" s="13"/>
      <c r="C281" s="34"/>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5.75" customHeight="1">
      <c r="A282" s="13"/>
      <c r="B282" s="13"/>
      <c r="C282" s="34"/>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5.75" customHeight="1">
      <c r="A283" s="13"/>
      <c r="B283" s="13"/>
      <c r="C283" s="34"/>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5.75" customHeight="1">
      <c r="A284" s="13"/>
      <c r="B284" s="13"/>
      <c r="C284" s="34"/>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5.75" customHeight="1">
      <c r="A285" s="13"/>
      <c r="B285" s="13"/>
      <c r="C285" s="34"/>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5.75" customHeight="1">
      <c r="A286" s="13"/>
      <c r="B286" s="13"/>
      <c r="C286" s="34"/>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5.75" customHeight="1">
      <c r="A287" s="13"/>
      <c r="B287" s="13"/>
      <c r="C287" s="34"/>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5.75" customHeight="1">
      <c r="A288" s="13"/>
      <c r="B288" s="13"/>
      <c r="C288" s="34"/>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5.75" customHeight="1">
      <c r="A289" s="13"/>
      <c r="B289" s="13"/>
      <c r="C289" s="34"/>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5.75" customHeight="1">
      <c r="A290" s="13"/>
      <c r="B290" s="13"/>
      <c r="C290" s="34"/>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5.75" customHeight="1">
      <c r="A291" s="13"/>
      <c r="B291" s="13"/>
      <c r="C291" s="34"/>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5.75" customHeight="1">
      <c r="A292" s="13"/>
      <c r="B292" s="13"/>
      <c r="C292" s="34"/>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5.75" customHeight="1">
      <c r="A293" s="13"/>
      <c r="B293" s="13"/>
      <c r="C293" s="34"/>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5.75" customHeight="1">
      <c r="A294" s="13"/>
      <c r="B294" s="13"/>
      <c r="C294" s="34"/>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5.75" customHeight="1">
      <c r="A295" s="13"/>
      <c r="B295" s="13"/>
      <c r="C295" s="34"/>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5.75" customHeight="1">
      <c r="A296" s="13"/>
      <c r="B296" s="13"/>
      <c r="C296" s="34"/>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5.75" customHeight="1">
      <c r="A297" s="13"/>
      <c r="B297" s="13"/>
      <c r="C297" s="34"/>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5.75" customHeight="1">
      <c r="A298" s="13"/>
      <c r="B298" s="13"/>
      <c r="C298" s="34"/>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5.75" customHeight="1">
      <c r="A299" s="13"/>
      <c r="B299" s="13"/>
      <c r="C299" s="34"/>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5.75" customHeight="1">
      <c r="A300" s="13"/>
      <c r="B300" s="13"/>
      <c r="C300" s="34"/>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5.75" customHeight="1">
      <c r="A301" s="13"/>
      <c r="B301" s="13"/>
      <c r="C301" s="34"/>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5.75" customHeight="1">
      <c r="A302" s="13"/>
      <c r="B302" s="13"/>
      <c r="C302" s="34"/>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5.75" customHeight="1">
      <c r="A303" s="13"/>
      <c r="B303" s="13"/>
      <c r="C303" s="34"/>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5.75" customHeight="1">
      <c r="A304" s="13"/>
      <c r="B304" s="13"/>
      <c r="C304" s="34"/>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5.75" customHeight="1">
      <c r="A305" s="13"/>
      <c r="B305" s="13"/>
      <c r="C305" s="34"/>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5.75" customHeight="1">
      <c r="A306" s="13"/>
      <c r="B306" s="13"/>
      <c r="C306" s="34"/>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5.75" customHeight="1">
      <c r="A307" s="13"/>
      <c r="B307" s="13"/>
      <c r="C307" s="34"/>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5.75" customHeight="1">
      <c r="A308" s="13"/>
      <c r="B308" s="13"/>
      <c r="C308" s="34"/>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5.75" customHeight="1">
      <c r="A309" s="13"/>
      <c r="B309" s="13"/>
      <c r="C309" s="34"/>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5.75" customHeight="1">
      <c r="A310" s="13"/>
      <c r="B310" s="13"/>
      <c r="C310" s="34"/>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5.75" customHeight="1">
      <c r="A311" s="13"/>
      <c r="B311" s="13"/>
      <c r="C311" s="34"/>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5.75" customHeight="1">
      <c r="A312" s="13"/>
      <c r="B312" s="13"/>
      <c r="C312" s="34"/>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5.75" customHeight="1">
      <c r="A313" s="13"/>
      <c r="B313" s="13"/>
      <c r="C313" s="34"/>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5.75" customHeight="1">
      <c r="A314" s="13"/>
      <c r="B314" s="13"/>
      <c r="C314" s="34"/>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5.75" customHeight="1">
      <c r="A315" s="13"/>
      <c r="B315" s="13"/>
      <c r="C315" s="34"/>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5.75" customHeight="1">
      <c r="A316" s="13"/>
      <c r="B316" s="13"/>
      <c r="C316" s="34"/>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5.75" customHeight="1">
      <c r="A317" s="13"/>
      <c r="B317" s="13"/>
      <c r="C317" s="34"/>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5.75" customHeight="1">
      <c r="A318" s="13"/>
      <c r="B318" s="13"/>
      <c r="C318" s="34"/>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5.75" customHeight="1">
      <c r="A319" s="13"/>
      <c r="B319" s="13"/>
      <c r="C319" s="34"/>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5.75" customHeight="1">
      <c r="A320" s="13"/>
      <c r="B320" s="13"/>
      <c r="C320" s="34"/>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5.75" customHeight="1">
      <c r="A321" s="13"/>
      <c r="B321" s="13"/>
      <c r="C321" s="34"/>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5.75" customHeight="1">
      <c r="A322" s="13"/>
      <c r="B322" s="13"/>
      <c r="C322" s="34"/>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5.75" customHeight="1">
      <c r="A323" s="13"/>
      <c r="B323" s="13"/>
      <c r="C323" s="34"/>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5.75" customHeight="1">
      <c r="A324" s="13"/>
      <c r="B324" s="13"/>
      <c r="C324" s="34"/>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5.75" customHeight="1">
      <c r="A325" s="13"/>
      <c r="B325" s="13"/>
      <c r="C325" s="34"/>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5.75" customHeight="1">
      <c r="A326" s="13"/>
      <c r="B326" s="13"/>
      <c r="C326" s="34"/>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5.75" customHeight="1">
      <c r="A327" s="13"/>
      <c r="B327" s="13"/>
      <c r="C327" s="34"/>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5.75" customHeight="1">
      <c r="A328" s="13"/>
      <c r="B328" s="13"/>
      <c r="C328" s="34"/>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5.75" customHeight="1">
      <c r="A329" s="13"/>
      <c r="B329" s="13"/>
      <c r="C329" s="34"/>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5.75" customHeight="1">
      <c r="A330" s="13"/>
      <c r="B330" s="13"/>
      <c r="C330" s="34"/>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5.75" customHeight="1">
      <c r="A331" s="13"/>
      <c r="B331" s="13"/>
      <c r="C331" s="34"/>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5.75" customHeight="1">
      <c r="A332" s="13"/>
      <c r="B332" s="13"/>
      <c r="C332" s="34"/>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5.75" customHeight="1">
      <c r="A333" s="13"/>
      <c r="B333" s="13"/>
      <c r="C333" s="34"/>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5.75" customHeight="1">
      <c r="A334" s="13"/>
      <c r="B334" s="13"/>
      <c r="C334" s="34"/>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5.75" customHeight="1">
      <c r="A335" s="13"/>
      <c r="B335" s="13"/>
      <c r="C335" s="34"/>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5.75" customHeight="1">
      <c r="A336" s="13"/>
      <c r="B336" s="13"/>
      <c r="C336" s="34"/>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5.75" customHeight="1">
      <c r="A337" s="13"/>
      <c r="B337" s="13"/>
      <c r="C337" s="34"/>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5.75" customHeight="1">
      <c r="A338" s="13"/>
      <c r="B338" s="13"/>
      <c r="C338" s="34"/>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5.75" customHeight="1">
      <c r="A339" s="13"/>
      <c r="B339" s="13"/>
      <c r="C339" s="34"/>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5.75" customHeight="1">
      <c r="A340" s="13"/>
      <c r="B340" s="13"/>
      <c r="C340" s="34"/>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5.75" customHeight="1">
      <c r="A341" s="13"/>
      <c r="B341" s="13"/>
      <c r="C341" s="34"/>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5.75" customHeight="1">
      <c r="A342" s="13"/>
      <c r="B342" s="13"/>
      <c r="C342" s="34"/>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5.75" customHeight="1">
      <c r="A343" s="13"/>
      <c r="B343" s="13"/>
      <c r="C343" s="34"/>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5.75" customHeight="1">
      <c r="A344" s="13"/>
      <c r="B344" s="13"/>
      <c r="C344" s="34"/>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5.75" customHeight="1">
      <c r="A345" s="13"/>
      <c r="B345" s="13"/>
      <c r="C345" s="34"/>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5.75" customHeight="1">
      <c r="A346" s="13"/>
      <c r="B346" s="13"/>
      <c r="C346" s="34"/>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5.75" customHeight="1">
      <c r="A347" s="13"/>
      <c r="B347" s="13"/>
      <c r="C347" s="34"/>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5.75" customHeight="1">
      <c r="A348" s="13"/>
      <c r="B348" s="13"/>
      <c r="C348" s="34"/>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5.75" customHeight="1">
      <c r="A349" s="13"/>
      <c r="B349" s="13"/>
      <c r="C349" s="34"/>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5.75" customHeight="1">
      <c r="A350" s="13"/>
      <c r="B350" s="13"/>
      <c r="C350" s="34"/>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5.75" customHeight="1">
      <c r="A351" s="13"/>
      <c r="B351" s="13"/>
      <c r="C351" s="34"/>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5.75" customHeight="1">
      <c r="A352" s="13"/>
      <c r="B352" s="13"/>
      <c r="C352" s="34"/>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5.75" customHeight="1">
      <c r="A353" s="13"/>
      <c r="B353" s="13"/>
      <c r="C353" s="34"/>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5.75" customHeight="1">
      <c r="A354" s="13"/>
      <c r="B354" s="13"/>
      <c r="C354" s="34"/>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5.75" customHeight="1">
      <c r="A355" s="13"/>
      <c r="B355" s="13"/>
      <c r="C355" s="34"/>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5.75" customHeight="1">
      <c r="A356" s="13"/>
      <c r="B356" s="13"/>
      <c r="C356" s="34"/>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5.75" customHeight="1">
      <c r="A357" s="13"/>
      <c r="B357" s="13"/>
      <c r="C357" s="34"/>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5.75" customHeight="1">
      <c r="A358" s="13"/>
      <c r="B358" s="13"/>
      <c r="C358" s="34"/>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5.75" customHeight="1">
      <c r="A359" s="13"/>
      <c r="B359" s="13"/>
      <c r="C359" s="34"/>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5.75" customHeight="1">
      <c r="A360" s="13"/>
      <c r="B360" s="13"/>
      <c r="C360" s="34"/>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5.75" customHeight="1">
      <c r="A361" s="13"/>
      <c r="B361" s="13"/>
      <c r="C361" s="34"/>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5.75" customHeight="1">
      <c r="A362" s="13"/>
      <c r="B362" s="13"/>
      <c r="C362" s="34"/>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5.75" customHeight="1">
      <c r="A363" s="13"/>
      <c r="B363" s="13"/>
      <c r="C363" s="34"/>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5.75" customHeight="1">
      <c r="A364" s="13"/>
      <c r="B364" s="13"/>
      <c r="C364" s="34"/>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5.75" customHeight="1">
      <c r="A365" s="13"/>
      <c r="B365" s="13"/>
      <c r="C365" s="34"/>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5.75" customHeight="1">
      <c r="A366" s="13"/>
      <c r="B366" s="13"/>
      <c r="C366" s="34"/>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5.75" customHeight="1">
      <c r="A367" s="13"/>
      <c r="B367" s="13"/>
      <c r="C367" s="34"/>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5.75" customHeight="1">
      <c r="A368" s="13"/>
      <c r="B368" s="13"/>
      <c r="C368" s="34"/>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ht="15.75" customHeight="1">
      <c r="A369" s="13"/>
      <c r="B369" s="13"/>
      <c r="C369" s="34"/>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ht="15.75" customHeight="1">
      <c r="A370" s="13"/>
      <c r="B370" s="13"/>
      <c r="C370" s="34"/>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ht="15.75" customHeight="1">
      <c r="A371" s="13"/>
      <c r="B371" s="13"/>
      <c r="C371" s="34"/>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ht="15.75" customHeight="1">
      <c r="A372" s="13"/>
      <c r="B372" s="13"/>
      <c r="C372" s="34"/>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ht="15.75" customHeight="1">
      <c r="A373" s="13"/>
      <c r="B373" s="13"/>
      <c r="C373" s="34"/>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ht="15.75" customHeight="1">
      <c r="A374" s="13"/>
      <c r="B374" s="13"/>
      <c r="C374" s="34"/>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ht="15.75" customHeight="1">
      <c r="A375" s="13"/>
      <c r="B375" s="13"/>
      <c r="C375" s="34"/>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ht="15.75" customHeight="1">
      <c r="A376" s="13"/>
      <c r="B376" s="13"/>
      <c r="C376" s="34"/>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ht="15.75" customHeight="1">
      <c r="A377" s="13"/>
      <c r="B377" s="13"/>
      <c r="C377" s="34"/>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F136:F140"/>
    <mergeCell ref="B157:G157"/>
    <mergeCell ref="B2:G2"/>
    <mergeCell ref="B4:C4"/>
    <mergeCell ref="D4:E4"/>
    <mergeCell ref="B17:G17"/>
    <mergeCell ref="B36:G36"/>
    <mergeCell ref="B127:J127"/>
    <mergeCell ref="B129:G129"/>
  </mergeCells>
  <conditionalFormatting sqref="D177">
    <cfRule type="expression" dxfId="1" priority="1">
      <formula>$D$177="Threshold Hit"</formula>
    </cfRule>
  </conditionalFormatting>
  <conditionalFormatting sqref="D177">
    <cfRule type="expression" dxfId="0" priority="2">
      <formula>$D$177="Below Threshold"</formula>
    </cfRule>
  </conditionalFormatting>
  <conditionalFormatting sqref="G15">
    <cfRule type="expression" dxfId="1" priority="3">
      <formula>ABS($G$15)&lt;1</formula>
    </cfRule>
  </conditionalFormatting>
  <conditionalFormatting sqref="G15">
    <cfRule type="expression" dxfId="2" priority="4">
      <formula>$G$15&gt;1</formula>
    </cfRule>
  </conditionalFormatting>
  <conditionalFormatting sqref="G15">
    <cfRule type="expression" dxfId="0" priority="5">
      <formula>$G$15&lt;-1</formula>
    </cfRule>
  </conditionalFormatting>
  <dataValidations>
    <dataValidation type="list" allowBlank="1" showErrorMessage="1" sqref="G136">
      <formula1>'Data Validation'!$B$3:$B$4</formula1>
    </dataValidation>
    <dataValidation type="list" allowBlank="1" showErrorMessage="1" sqref="C20:C29">
      <formula1>'Data Validation'!$D$3:$D$9</formula1>
    </dataValidation>
    <dataValidation type="list" allowBlank="1" showErrorMessage="1" sqref="C31">
      <formula1>"Hard Debt,Soft Debt,Other"</formula1>
    </dataValidation>
  </dataValidations>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5E0B3"/>
    <pageSetUpPr/>
  </sheetPr>
  <sheetViews>
    <sheetView workbookViewId="0"/>
  </sheetViews>
  <sheetFormatPr customHeight="1" defaultColWidth="12.63" defaultRowHeight="15.0"/>
  <cols>
    <col customWidth="1" min="1" max="1" width="2.63"/>
    <col customWidth="1" min="2" max="2" width="32.13"/>
    <col customWidth="1" min="3" max="3" width="13.5"/>
    <col customWidth="1" min="4" max="6" width="13.38"/>
    <col customWidth="1" min="8" max="8" width="12.13"/>
    <col customWidth="1" min="9" max="11" width="13.38"/>
    <col customWidth="1" min="12" max="26" width="8.0"/>
  </cols>
  <sheetData>
    <row r="1" ht="9.0" customHeight="1">
      <c r="A1" s="13"/>
      <c r="B1" s="13"/>
      <c r="C1" s="13"/>
      <c r="D1" s="13"/>
      <c r="E1" s="13"/>
      <c r="F1" s="13"/>
      <c r="G1" s="13"/>
      <c r="H1" s="13"/>
      <c r="I1" s="13"/>
      <c r="J1" s="13"/>
      <c r="K1" s="13"/>
      <c r="L1" s="13"/>
      <c r="M1" s="13"/>
      <c r="N1" s="13"/>
      <c r="O1" s="13"/>
      <c r="P1" s="13"/>
      <c r="Q1" s="13"/>
      <c r="R1" s="13"/>
      <c r="S1" s="13"/>
      <c r="T1" s="13"/>
      <c r="U1" s="13"/>
      <c r="V1" s="13"/>
      <c r="W1" s="13"/>
      <c r="X1" s="13"/>
      <c r="Y1" s="13"/>
      <c r="Z1" s="13"/>
    </row>
    <row r="2">
      <c r="A2" s="13"/>
      <c r="B2" s="36" t="s">
        <v>180</v>
      </c>
      <c r="C2" s="37"/>
      <c r="D2" s="37"/>
      <c r="E2" s="37"/>
      <c r="F2" s="37"/>
      <c r="G2" s="37"/>
      <c r="H2" s="37"/>
      <c r="I2" s="199"/>
      <c r="J2" s="199"/>
      <c r="K2" s="13"/>
      <c r="L2" s="13"/>
      <c r="M2" s="13"/>
      <c r="N2" s="13"/>
      <c r="O2" s="13"/>
      <c r="P2" s="13"/>
      <c r="Q2" s="13"/>
      <c r="R2" s="13"/>
      <c r="S2" s="13"/>
      <c r="T2" s="13"/>
      <c r="U2" s="13"/>
      <c r="V2" s="13"/>
      <c r="W2" s="13"/>
      <c r="X2" s="13"/>
      <c r="Y2" s="13"/>
      <c r="Z2" s="13"/>
    </row>
    <row r="3">
      <c r="A3" s="13"/>
      <c r="B3" s="200"/>
      <c r="C3" s="200"/>
      <c r="D3" s="200"/>
      <c r="E3" s="200"/>
      <c r="F3" s="200"/>
      <c r="G3" s="200"/>
      <c r="H3" s="200"/>
      <c r="I3" s="199"/>
      <c r="J3" s="199"/>
      <c r="K3" s="13"/>
      <c r="L3" s="13"/>
      <c r="M3" s="13"/>
      <c r="N3" s="13"/>
      <c r="O3" s="13"/>
      <c r="P3" s="13"/>
      <c r="Q3" s="13"/>
      <c r="R3" s="13"/>
      <c r="S3" s="13"/>
      <c r="T3" s="13"/>
      <c r="U3" s="13"/>
      <c r="V3" s="13"/>
      <c r="W3" s="13"/>
      <c r="X3" s="13"/>
      <c r="Y3" s="13"/>
      <c r="Z3" s="13"/>
    </row>
    <row r="4">
      <c r="A4" s="13"/>
      <c r="B4" s="201" t="s">
        <v>181</v>
      </c>
      <c r="C4" s="143">
        <f>egi_two</f>
        <v>1726409.28</v>
      </c>
      <c r="D4" s="200"/>
      <c r="E4" s="200"/>
      <c r="F4" s="200"/>
      <c r="G4" s="39" t="s">
        <v>44</v>
      </c>
      <c r="H4" s="39"/>
      <c r="I4" s="199"/>
      <c r="J4" s="199"/>
      <c r="K4" s="13"/>
      <c r="L4" s="13"/>
      <c r="M4" s="13"/>
      <c r="N4" s="13"/>
      <c r="O4" s="13"/>
      <c r="P4" s="13"/>
      <c r="Q4" s="13"/>
      <c r="R4" s="13"/>
      <c r="S4" s="13"/>
      <c r="T4" s="13"/>
      <c r="U4" s="13"/>
      <c r="V4" s="13"/>
      <c r="W4" s="13"/>
      <c r="X4" s="13"/>
      <c r="Y4" s="13"/>
      <c r="Z4" s="13"/>
    </row>
    <row r="5">
      <c r="A5" s="13"/>
      <c r="B5" s="202" t="s">
        <v>182</v>
      </c>
      <c r="C5" s="203">
        <f>totalopex_two</f>
        <v>588926.6079</v>
      </c>
      <c r="D5" s="200"/>
      <c r="E5" s="200"/>
      <c r="F5" s="200"/>
      <c r="G5" s="200"/>
      <c r="H5" s="200"/>
      <c r="I5" s="199"/>
      <c r="J5" s="199"/>
      <c r="K5" s="13"/>
      <c r="L5" s="13"/>
      <c r="M5" s="13"/>
      <c r="N5" s="13"/>
      <c r="O5" s="13"/>
      <c r="P5" s="13"/>
      <c r="Q5" s="13"/>
      <c r="R5" s="13"/>
      <c r="S5" s="13"/>
      <c r="T5" s="13"/>
      <c r="U5" s="13"/>
      <c r="V5" s="13"/>
      <c r="W5" s="13"/>
      <c r="X5" s="13"/>
      <c r="Y5" s="13"/>
      <c r="Z5" s="13"/>
    </row>
    <row r="6">
      <c r="A6" s="13"/>
      <c r="B6" s="204" t="s">
        <v>183</v>
      </c>
      <c r="C6" s="205">
        <f>C4-C5</f>
        <v>1137482.672</v>
      </c>
      <c r="D6" s="200"/>
      <c r="E6" s="200"/>
      <c r="F6" s="200"/>
      <c r="G6" s="200"/>
      <c r="H6" s="200"/>
      <c r="I6" s="199"/>
      <c r="J6" s="199"/>
      <c r="K6" s="13"/>
      <c r="L6" s="13"/>
      <c r="M6" s="13"/>
      <c r="N6" s="13"/>
      <c r="O6" s="13"/>
      <c r="P6" s="13"/>
      <c r="Q6" s="13"/>
      <c r="R6" s="13"/>
      <c r="S6" s="13"/>
      <c r="T6" s="13"/>
      <c r="U6" s="13"/>
      <c r="V6" s="13"/>
      <c r="W6" s="13"/>
      <c r="X6" s="13"/>
      <c r="Y6" s="13"/>
      <c r="Z6" s="13"/>
    </row>
    <row r="7">
      <c r="A7" s="13"/>
      <c r="B7" s="15"/>
      <c r="C7" s="13"/>
      <c r="D7" s="13"/>
      <c r="E7" s="13"/>
      <c r="F7" s="13"/>
      <c r="G7" s="13"/>
      <c r="H7" s="13"/>
      <c r="I7" s="13"/>
      <c r="J7" s="13"/>
      <c r="K7" s="13"/>
      <c r="L7" s="13"/>
      <c r="M7" s="13"/>
      <c r="N7" s="13"/>
      <c r="O7" s="13"/>
      <c r="P7" s="13"/>
      <c r="Q7" s="13"/>
      <c r="R7" s="13"/>
      <c r="S7" s="13"/>
      <c r="T7" s="13"/>
      <c r="U7" s="13"/>
      <c r="V7" s="13"/>
      <c r="W7" s="13"/>
      <c r="X7" s="13"/>
      <c r="Y7" s="13"/>
      <c r="Z7" s="13"/>
    </row>
    <row r="8">
      <c r="A8" s="13"/>
      <c r="B8" s="206" t="s">
        <v>184</v>
      </c>
      <c r="C8" s="37"/>
      <c r="D8" s="37"/>
      <c r="E8" s="37"/>
      <c r="F8" s="37"/>
      <c r="G8" s="37"/>
      <c r="H8" s="207"/>
      <c r="I8" s="13"/>
      <c r="J8" s="13"/>
      <c r="K8" s="13"/>
      <c r="L8" s="13"/>
      <c r="M8" s="13"/>
      <c r="N8" s="13"/>
      <c r="O8" s="13"/>
      <c r="P8" s="13"/>
      <c r="Q8" s="13"/>
      <c r="R8" s="13"/>
      <c r="S8" s="13"/>
      <c r="T8" s="13"/>
      <c r="U8" s="13"/>
      <c r="V8" s="13"/>
      <c r="W8" s="13"/>
      <c r="X8" s="13"/>
      <c r="Y8" s="13"/>
      <c r="Z8" s="13"/>
    </row>
    <row r="9">
      <c r="A9" s="13"/>
      <c r="B9" s="13"/>
      <c r="C9" s="13"/>
      <c r="D9" s="13"/>
      <c r="E9" s="13"/>
      <c r="F9" s="13"/>
      <c r="G9" s="13"/>
      <c r="H9" s="13"/>
      <c r="I9" s="13"/>
      <c r="J9" s="13"/>
      <c r="K9" s="13"/>
      <c r="L9" s="13"/>
      <c r="M9" s="13"/>
      <c r="N9" s="13"/>
      <c r="O9" s="13"/>
      <c r="P9" s="13"/>
      <c r="Q9" s="13"/>
      <c r="R9" s="13"/>
      <c r="S9" s="13"/>
      <c r="T9" s="13"/>
      <c r="U9" s="13"/>
      <c r="V9" s="13"/>
      <c r="W9" s="13"/>
      <c r="X9" s="13"/>
      <c r="Y9" s="13"/>
      <c r="Z9" s="13"/>
    </row>
    <row r="10">
      <c r="A10" s="13"/>
      <c r="B10" s="199" t="s">
        <v>185</v>
      </c>
      <c r="C10" s="13"/>
      <c r="D10" s="13"/>
      <c r="E10" s="13"/>
      <c r="F10" s="13"/>
      <c r="G10" s="13"/>
      <c r="H10" s="13"/>
      <c r="I10" s="13"/>
      <c r="J10" s="13"/>
      <c r="K10" s="13"/>
      <c r="L10" s="13"/>
      <c r="M10" s="13"/>
      <c r="N10" s="13"/>
      <c r="O10" s="13"/>
      <c r="P10" s="13"/>
      <c r="Q10" s="13"/>
      <c r="R10" s="13"/>
      <c r="S10" s="13"/>
      <c r="T10" s="13"/>
      <c r="U10" s="13"/>
      <c r="V10" s="13"/>
      <c r="W10" s="13"/>
      <c r="X10" s="13"/>
      <c r="Y10" s="13"/>
      <c r="Z10" s="13"/>
    </row>
    <row r="11">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ht="31.5" customHeight="1">
      <c r="A12" s="13"/>
      <c r="B12" s="208" t="s">
        <v>186</v>
      </c>
      <c r="C12" s="209" t="s">
        <v>187</v>
      </c>
      <c r="D12" s="209" t="s">
        <v>188</v>
      </c>
      <c r="E12" s="209" t="s">
        <v>189</v>
      </c>
      <c r="F12" s="209" t="s">
        <v>190</v>
      </c>
      <c r="G12" s="210" t="s">
        <v>191</v>
      </c>
      <c r="H12" s="211" t="s">
        <v>192</v>
      </c>
      <c r="I12" s="13"/>
      <c r="J12" s="13"/>
      <c r="K12" s="13"/>
      <c r="L12" s="13"/>
      <c r="M12" s="13"/>
      <c r="N12" s="13"/>
      <c r="O12" s="13"/>
      <c r="P12" s="13"/>
      <c r="Q12" s="13"/>
      <c r="R12" s="13"/>
      <c r="S12" s="13"/>
      <c r="T12" s="13"/>
      <c r="U12" s="13"/>
      <c r="V12" s="13"/>
      <c r="W12" s="13"/>
      <c r="X12" s="13"/>
      <c r="Y12" s="13"/>
      <c r="Z12" s="13"/>
    </row>
    <row r="13">
      <c r="A13" s="13">
        <v>1.0</v>
      </c>
      <c r="B13" s="76" t="s">
        <v>576</v>
      </c>
      <c r="C13" s="212">
        <v>20.0</v>
      </c>
      <c r="D13" s="212">
        <v>650.0</v>
      </c>
      <c r="E13" s="213">
        <f t="array" ref="E13">INDEX('Sec 42 Rent Limits'!$C$12:$C$31,MATCH('Income &amp; Expenses (P2)'!$B13,'Sec 42 Rent Limits'!$B$12:$B$31,0))</f>
        <v>687</v>
      </c>
      <c r="F13" s="213">
        <f>-'Assumptions (P2)'!D32</f>
        <v>-59</v>
      </c>
      <c r="G13" s="214">
        <f t="shared" ref="G13:G37" si="1">E13+F13</f>
        <v>628</v>
      </c>
      <c r="H13" s="215">
        <f t="shared" ref="H13:H37" si="2">C13*G13*12</f>
        <v>150720</v>
      </c>
      <c r="I13" s="13"/>
      <c r="J13" s="13" t="s">
        <v>420</v>
      </c>
      <c r="K13" s="57">
        <f>SUM(C13:C17)</f>
        <v>80</v>
      </c>
      <c r="L13" s="138">
        <f t="shared" ref="L13:L16" si="3">K13/$K$16</f>
        <v>0.625</v>
      </c>
      <c r="M13" s="13"/>
      <c r="N13" s="13">
        <v>80.0</v>
      </c>
      <c r="O13" s="13"/>
      <c r="P13" s="13"/>
      <c r="Q13" s="13"/>
      <c r="R13" s="13"/>
      <c r="S13" s="13"/>
      <c r="T13" s="13"/>
      <c r="U13" s="13"/>
      <c r="V13" s="13"/>
      <c r="W13" s="13"/>
      <c r="X13" s="13"/>
      <c r="Y13" s="13"/>
      <c r="Z13" s="13"/>
    </row>
    <row r="14">
      <c r="A14" s="13">
        <v>2.0</v>
      </c>
      <c r="B14" s="216" t="s">
        <v>577</v>
      </c>
      <c r="C14" s="217">
        <v>20.0</v>
      </c>
      <c r="D14" s="217">
        <f t="shared" ref="D14:D17" si="4">D13</f>
        <v>650</v>
      </c>
      <c r="E14" s="218">
        <f t="array" ref="E14">INDEX('Sec 42 Rent Limits'!$C$12:$C$31,MATCH('Income &amp; Expenses (P2)'!$B14,'Sec 42 Rent Limits'!$B$12:$B$31,0))</f>
        <v>916</v>
      </c>
      <c r="F14" s="218">
        <f t="shared" ref="F14:F17" si="5">F13</f>
        <v>-59</v>
      </c>
      <c r="G14" s="219">
        <f t="shared" si="1"/>
        <v>857</v>
      </c>
      <c r="H14" s="215">
        <f t="shared" si="2"/>
        <v>205680</v>
      </c>
      <c r="I14" s="58"/>
      <c r="J14" s="13" t="s">
        <v>422</v>
      </c>
      <c r="K14" s="57">
        <f>SUM(C18:C22)</f>
        <v>24</v>
      </c>
      <c r="L14" s="138">
        <f t="shared" si="3"/>
        <v>0.1875</v>
      </c>
      <c r="M14" s="13"/>
      <c r="N14" s="13">
        <v>24.0</v>
      </c>
      <c r="O14" s="13"/>
      <c r="P14" s="13"/>
      <c r="Q14" s="13"/>
      <c r="R14" s="13"/>
      <c r="S14" s="13"/>
      <c r="T14" s="13"/>
      <c r="U14" s="13"/>
      <c r="V14" s="13"/>
      <c r="W14" s="13"/>
      <c r="X14" s="13"/>
      <c r="Y14" s="13"/>
      <c r="Z14" s="13"/>
    </row>
    <row r="15">
      <c r="A15" s="13">
        <v>3.0</v>
      </c>
      <c r="B15" s="216" t="s">
        <v>578</v>
      </c>
      <c r="C15" s="217">
        <v>14.0</v>
      </c>
      <c r="D15" s="217">
        <f t="shared" si="4"/>
        <v>650</v>
      </c>
      <c r="E15" s="218">
        <f t="array" ref="E15">INDEX('Sec 42 Rent Limits'!$C$12:$C$31,MATCH('Income &amp; Expenses (P2)'!$B15,'Sec 42 Rent Limits'!$B$12:$B$31,0))</f>
        <v>1145</v>
      </c>
      <c r="F15" s="218">
        <f t="shared" si="5"/>
        <v>-59</v>
      </c>
      <c r="G15" s="219">
        <f t="shared" si="1"/>
        <v>1086</v>
      </c>
      <c r="H15" s="215">
        <f t="shared" si="2"/>
        <v>182448</v>
      </c>
      <c r="I15" s="13"/>
      <c r="J15" s="182" t="s">
        <v>579</v>
      </c>
      <c r="K15" s="446">
        <f>SUM(C23:C27)</f>
        <v>24</v>
      </c>
      <c r="L15" s="447">
        <f t="shared" si="3"/>
        <v>0.1875</v>
      </c>
      <c r="M15" s="13"/>
      <c r="N15" s="13">
        <v>24.0</v>
      </c>
      <c r="O15" s="13"/>
      <c r="P15" s="13"/>
      <c r="Q15" s="13"/>
      <c r="R15" s="13"/>
      <c r="S15" s="13"/>
      <c r="T15" s="13"/>
      <c r="U15" s="13"/>
      <c r="V15" s="13"/>
      <c r="W15" s="13"/>
      <c r="X15" s="13"/>
      <c r="Y15" s="13"/>
      <c r="Z15" s="13"/>
    </row>
    <row r="16">
      <c r="A16" s="13">
        <v>4.0</v>
      </c>
      <c r="B16" s="216" t="s">
        <v>580</v>
      </c>
      <c r="C16" s="217">
        <v>16.0</v>
      </c>
      <c r="D16" s="217">
        <f t="shared" si="4"/>
        <v>650</v>
      </c>
      <c r="E16" s="218">
        <f t="array" ref="E16">INDEX('Sec 42 Rent Limits'!$C$12:$C$31,MATCH('Income &amp; Expenses (P2)'!$B16,'Sec 42 Rent Limits'!$B$12:$B$31,0))</f>
        <v>1374</v>
      </c>
      <c r="F16" s="218">
        <f t="shared" si="5"/>
        <v>-59</v>
      </c>
      <c r="G16" s="219">
        <f t="shared" si="1"/>
        <v>1315</v>
      </c>
      <c r="H16" s="215">
        <f t="shared" si="2"/>
        <v>252480</v>
      </c>
      <c r="I16" s="13"/>
      <c r="J16" s="13"/>
      <c r="K16" s="57">
        <f>SUM(K13:K15)</f>
        <v>128</v>
      </c>
      <c r="L16" s="138">
        <f t="shared" si="3"/>
        <v>1</v>
      </c>
      <c r="M16" s="13"/>
      <c r="N16" s="13"/>
      <c r="O16" s="13"/>
      <c r="P16" s="13"/>
      <c r="Q16" s="13"/>
      <c r="R16" s="13"/>
      <c r="S16" s="13"/>
      <c r="T16" s="13"/>
      <c r="U16" s="13"/>
      <c r="V16" s="13"/>
      <c r="W16" s="13"/>
      <c r="X16" s="13"/>
      <c r="Y16" s="13"/>
      <c r="Z16" s="13"/>
    </row>
    <row r="17">
      <c r="A17" s="13">
        <v>5.0</v>
      </c>
      <c r="B17" s="216" t="s">
        <v>581</v>
      </c>
      <c r="C17" s="217">
        <v>10.0</v>
      </c>
      <c r="D17" s="217">
        <f t="shared" si="4"/>
        <v>650</v>
      </c>
      <c r="E17" s="218">
        <f t="array" ref="E17">INDEX('Sec 42 Rent Limits'!$C$12:$C$31,MATCH('Income &amp; Expenses (P2)'!$B17,'Sec 42 Rent Limits'!$B$12:$B$31,0))</f>
        <v>1832</v>
      </c>
      <c r="F17" s="218">
        <f t="shared" si="5"/>
        <v>-59</v>
      </c>
      <c r="G17" s="222">
        <f t="shared" si="1"/>
        <v>1773</v>
      </c>
      <c r="H17" s="215">
        <f t="shared" si="2"/>
        <v>212760</v>
      </c>
      <c r="I17" s="13"/>
      <c r="M17" s="13"/>
      <c r="N17" s="13"/>
      <c r="O17" s="13"/>
      <c r="P17" s="13"/>
      <c r="Q17" s="13"/>
      <c r="R17" s="13"/>
      <c r="S17" s="13"/>
      <c r="T17" s="13"/>
      <c r="U17" s="13"/>
      <c r="V17" s="13"/>
      <c r="W17" s="13"/>
      <c r="X17" s="13"/>
      <c r="Y17" s="13"/>
      <c r="Z17" s="13"/>
    </row>
    <row r="18">
      <c r="A18" s="13">
        <v>6.0</v>
      </c>
      <c r="B18" s="76" t="s">
        <v>582</v>
      </c>
      <c r="C18" s="217">
        <v>4.0</v>
      </c>
      <c r="D18" s="217">
        <v>960.0</v>
      </c>
      <c r="E18" s="218">
        <f t="array" ref="E18">INDEX('Sec 42 Rent Limits'!$C$12:$C$31,MATCH('Income &amp; Expenses (P2)'!$B18,'Sec 42 Rent Limits'!$B$12:$B$31,0))</f>
        <v>824</v>
      </c>
      <c r="F18" s="218">
        <f>-'Assumptions (P2)'!D33</f>
        <v>-75</v>
      </c>
      <c r="G18" s="219">
        <f t="shared" si="1"/>
        <v>749</v>
      </c>
      <c r="H18" s="215">
        <f t="shared" si="2"/>
        <v>35952</v>
      </c>
      <c r="I18" s="13"/>
      <c r="J18" s="138">
        <v>0.3</v>
      </c>
      <c r="K18" s="57">
        <f t="shared" ref="K18:K22" si="6">C13+C18+C23</f>
        <v>26</v>
      </c>
      <c r="L18" s="138">
        <f t="shared" ref="L18:L23" si="7">K18/$K$23</f>
        <v>0.203125</v>
      </c>
      <c r="M18" s="13"/>
      <c r="N18" s="13"/>
      <c r="O18" s="13"/>
      <c r="P18" s="13"/>
      <c r="Q18" s="13"/>
      <c r="R18" s="13"/>
      <c r="S18" s="13"/>
      <c r="T18" s="13"/>
      <c r="U18" s="13"/>
      <c r="V18" s="13"/>
      <c r="W18" s="13"/>
      <c r="X18" s="13"/>
      <c r="Y18" s="13"/>
      <c r="Z18" s="13"/>
    </row>
    <row r="19">
      <c r="A19" s="13">
        <v>7.0</v>
      </c>
      <c r="B19" s="216" t="s">
        <v>583</v>
      </c>
      <c r="C19" s="217">
        <v>6.0</v>
      </c>
      <c r="D19" s="217">
        <f t="shared" ref="D19:D22" si="8">D18</f>
        <v>960</v>
      </c>
      <c r="E19" s="218">
        <f t="array" ref="E19">INDEX('Sec 42 Rent Limits'!$C$12:$C$31,MATCH('Income &amp; Expenses (P2)'!$B19,'Sec 42 Rent Limits'!$B$12:$B$31,0))</f>
        <v>1099</v>
      </c>
      <c r="F19" s="218">
        <f t="shared" ref="F19:F22" si="9">F18</f>
        <v>-75</v>
      </c>
      <c r="G19" s="219">
        <f t="shared" si="1"/>
        <v>1024</v>
      </c>
      <c r="H19" s="215">
        <f t="shared" si="2"/>
        <v>73728</v>
      </c>
      <c r="I19" s="13"/>
      <c r="J19" s="138">
        <v>0.4</v>
      </c>
      <c r="K19" s="57">
        <f t="shared" si="6"/>
        <v>30</v>
      </c>
      <c r="L19" s="138">
        <f t="shared" si="7"/>
        <v>0.234375</v>
      </c>
      <c r="M19" s="13"/>
      <c r="N19" s="13"/>
      <c r="O19" s="13"/>
      <c r="P19" s="13"/>
      <c r="Q19" s="13"/>
      <c r="R19" s="13"/>
      <c r="S19" s="13"/>
      <c r="T19" s="13"/>
      <c r="U19" s="13"/>
      <c r="V19" s="13"/>
      <c r="W19" s="13"/>
      <c r="X19" s="13"/>
      <c r="Y19" s="13"/>
      <c r="Z19" s="13"/>
    </row>
    <row r="20">
      <c r="A20" s="13">
        <v>8.0</v>
      </c>
      <c r="B20" s="216" t="s">
        <v>584</v>
      </c>
      <c r="C20" s="217">
        <v>6.0</v>
      </c>
      <c r="D20" s="217">
        <f t="shared" si="8"/>
        <v>960</v>
      </c>
      <c r="E20" s="218">
        <f t="array" ref="E20">INDEX('Sec 42 Rent Limits'!$C$12:$C$31,MATCH('Income &amp; Expenses (P2)'!$B20,'Sec 42 Rent Limits'!$B$12:$B$31,0))</f>
        <v>1373</v>
      </c>
      <c r="F20" s="218">
        <f t="shared" si="9"/>
        <v>-75</v>
      </c>
      <c r="G20" s="219">
        <f t="shared" si="1"/>
        <v>1298</v>
      </c>
      <c r="H20" s="215">
        <f t="shared" si="2"/>
        <v>93456</v>
      </c>
      <c r="I20" s="13"/>
      <c r="J20" s="138">
        <v>0.5</v>
      </c>
      <c r="K20" s="57">
        <f t="shared" si="6"/>
        <v>26</v>
      </c>
      <c r="L20" s="138">
        <f t="shared" si="7"/>
        <v>0.203125</v>
      </c>
      <c r="M20" s="13"/>
      <c r="N20" s="13"/>
      <c r="O20" s="13"/>
      <c r="P20" s="13"/>
      <c r="Q20" s="13"/>
      <c r="R20" s="13"/>
      <c r="S20" s="13"/>
      <c r="T20" s="13"/>
      <c r="U20" s="13"/>
      <c r="V20" s="13"/>
      <c r="W20" s="13"/>
      <c r="X20" s="13"/>
      <c r="Y20" s="13"/>
      <c r="Z20" s="13"/>
    </row>
    <row r="21" ht="15.75" customHeight="1">
      <c r="A21" s="13">
        <v>9.0</v>
      </c>
      <c r="B21" s="216" t="s">
        <v>585</v>
      </c>
      <c r="C21" s="217">
        <v>6.0</v>
      </c>
      <c r="D21" s="217">
        <f t="shared" si="8"/>
        <v>960</v>
      </c>
      <c r="E21" s="218">
        <f t="array" ref="E21">INDEX('Sec 42 Rent Limits'!$C$12:$C$31,MATCH('Income &amp; Expenses (P2)'!$B21,'Sec 42 Rent Limits'!$B$12:$B$31,0))</f>
        <v>1648</v>
      </c>
      <c r="F21" s="218">
        <f t="shared" si="9"/>
        <v>-75</v>
      </c>
      <c r="G21" s="222">
        <f t="shared" si="1"/>
        <v>1573</v>
      </c>
      <c r="H21" s="215">
        <f t="shared" si="2"/>
        <v>113256</v>
      </c>
      <c r="I21" s="13"/>
      <c r="J21" s="138">
        <v>0.6</v>
      </c>
      <c r="K21" s="57">
        <f t="shared" si="6"/>
        <v>30</v>
      </c>
      <c r="L21" s="138">
        <f t="shared" si="7"/>
        <v>0.234375</v>
      </c>
      <c r="M21" s="13"/>
      <c r="N21" s="13"/>
      <c r="O21" s="13"/>
      <c r="P21" s="13"/>
      <c r="Q21" s="13"/>
      <c r="R21" s="13"/>
      <c r="S21" s="13"/>
      <c r="T21" s="13"/>
      <c r="U21" s="13"/>
      <c r="V21" s="13"/>
      <c r="W21" s="13"/>
      <c r="X21" s="13"/>
      <c r="Y21" s="13"/>
      <c r="Z21" s="13"/>
    </row>
    <row r="22" ht="15.75" customHeight="1">
      <c r="A22" s="13">
        <v>10.0</v>
      </c>
      <c r="B22" s="216" t="s">
        <v>586</v>
      </c>
      <c r="C22" s="217">
        <v>2.0</v>
      </c>
      <c r="D22" s="217">
        <f t="shared" si="8"/>
        <v>960</v>
      </c>
      <c r="E22" s="218">
        <f t="array" ref="E22">INDEX('Sec 42 Rent Limits'!$C$12:$C$31,MATCH('Income &amp; Expenses (P2)'!$B22,'Sec 42 Rent Limits'!$B$12:$B$31,0))</f>
        <v>2198</v>
      </c>
      <c r="F22" s="218">
        <f t="shared" si="9"/>
        <v>-75</v>
      </c>
      <c r="G22" s="219">
        <f t="shared" si="1"/>
        <v>2123</v>
      </c>
      <c r="H22" s="215">
        <f t="shared" si="2"/>
        <v>50952</v>
      </c>
      <c r="I22" s="13"/>
      <c r="J22" s="447">
        <v>0.8</v>
      </c>
      <c r="K22" s="446">
        <f t="shared" si="6"/>
        <v>16</v>
      </c>
      <c r="L22" s="447">
        <f t="shared" si="7"/>
        <v>0.125</v>
      </c>
      <c r="M22" s="13"/>
      <c r="N22" s="13"/>
      <c r="O22" s="13"/>
      <c r="P22" s="13"/>
      <c r="Q22" s="13"/>
      <c r="R22" s="13"/>
      <c r="S22" s="13"/>
      <c r="T22" s="13"/>
      <c r="U22" s="13"/>
      <c r="V22" s="13"/>
      <c r="W22" s="13"/>
      <c r="X22" s="13"/>
      <c r="Y22" s="13"/>
      <c r="Z22" s="13"/>
    </row>
    <row r="23" ht="15.75" customHeight="1">
      <c r="A23" s="13">
        <v>11.0</v>
      </c>
      <c r="B23" s="76" t="s">
        <v>587</v>
      </c>
      <c r="C23" s="217">
        <v>2.0</v>
      </c>
      <c r="D23" s="217">
        <v>960.0</v>
      </c>
      <c r="E23" s="218">
        <f t="array" ref="E23">INDEX('Sec 42 Rent Limits'!$C$12:$C$31,MATCH('Income &amp; Expenses (P2)'!$B23,'Sec 42 Rent Limits'!$B$12:$B$31,0))</f>
        <v>952</v>
      </c>
      <c r="F23" s="218">
        <f>-'Assumptions (P2)'!D34</f>
        <v>-91</v>
      </c>
      <c r="G23" s="219">
        <f t="shared" si="1"/>
        <v>861</v>
      </c>
      <c r="H23" s="215">
        <f t="shared" si="2"/>
        <v>20664</v>
      </c>
      <c r="I23" s="13"/>
      <c r="J23" s="13"/>
      <c r="K23" s="57">
        <f>SUM(K18:K22)</f>
        <v>128</v>
      </c>
      <c r="L23" s="138">
        <f t="shared" si="7"/>
        <v>1</v>
      </c>
      <c r="M23" s="13"/>
      <c r="N23" s="13"/>
      <c r="O23" s="13"/>
      <c r="P23" s="13"/>
      <c r="Q23" s="13"/>
      <c r="R23" s="13"/>
      <c r="S23" s="13"/>
      <c r="T23" s="13"/>
      <c r="U23" s="13"/>
      <c r="V23" s="13"/>
      <c r="W23" s="13"/>
      <c r="X23" s="13"/>
      <c r="Y23" s="13"/>
      <c r="Z23" s="13"/>
    </row>
    <row r="24" ht="15.75" customHeight="1">
      <c r="A24" s="13">
        <v>12.0</v>
      </c>
      <c r="B24" s="216" t="s">
        <v>588</v>
      </c>
      <c r="C24" s="217">
        <v>4.0</v>
      </c>
      <c r="D24" s="217">
        <f t="shared" ref="D24:D27" si="10">D23</f>
        <v>960</v>
      </c>
      <c r="E24" s="218">
        <f t="array" ref="E24">INDEX('Sec 42 Rent Limits'!$C$12:$C$31,MATCH('Income &amp; Expenses (P2)'!$B24,'Sec 42 Rent Limits'!$B$12:$B$31,0))</f>
        <v>1270</v>
      </c>
      <c r="F24" s="218">
        <f t="shared" ref="F24:F27" si="11">F23</f>
        <v>-91</v>
      </c>
      <c r="G24" s="219">
        <f t="shared" si="1"/>
        <v>1179</v>
      </c>
      <c r="H24" s="215">
        <f t="shared" si="2"/>
        <v>56592</v>
      </c>
      <c r="I24" s="13"/>
      <c r="J24" s="13"/>
      <c r="K24" s="13"/>
      <c r="L24" s="13"/>
      <c r="M24" s="13"/>
      <c r="N24" s="13"/>
      <c r="O24" s="13"/>
      <c r="P24" s="13"/>
      <c r="Q24" s="13"/>
      <c r="R24" s="13"/>
      <c r="S24" s="13"/>
      <c r="T24" s="13"/>
      <c r="U24" s="13"/>
      <c r="V24" s="13"/>
      <c r="W24" s="13"/>
      <c r="X24" s="13"/>
      <c r="Y24" s="13"/>
      <c r="Z24" s="13"/>
    </row>
    <row r="25" ht="15.75" customHeight="1">
      <c r="A25" s="13">
        <v>13.0</v>
      </c>
      <c r="B25" s="216" t="s">
        <v>589</v>
      </c>
      <c r="C25" s="217">
        <v>6.0</v>
      </c>
      <c r="D25" s="217">
        <f t="shared" si="10"/>
        <v>960</v>
      </c>
      <c r="E25" s="218">
        <f t="array" ref="E25">INDEX('Sec 42 Rent Limits'!$C$12:$C$31,MATCH('Income &amp; Expenses (P2)'!$B25,'Sec 42 Rent Limits'!$B$12:$B$31,0))</f>
        <v>1587</v>
      </c>
      <c r="F25" s="218">
        <f t="shared" si="11"/>
        <v>-91</v>
      </c>
      <c r="G25" s="219">
        <f t="shared" si="1"/>
        <v>1496</v>
      </c>
      <c r="H25" s="215">
        <f t="shared" si="2"/>
        <v>107712</v>
      </c>
      <c r="I25" s="13"/>
      <c r="J25" s="13"/>
      <c r="K25" s="13"/>
      <c r="L25" s="13"/>
      <c r="M25" s="13"/>
      <c r="N25" s="13"/>
      <c r="O25" s="13"/>
      <c r="P25" s="13"/>
      <c r="Q25" s="13"/>
      <c r="R25" s="13"/>
      <c r="S25" s="13"/>
      <c r="T25" s="13"/>
      <c r="U25" s="13"/>
      <c r="V25" s="13"/>
      <c r="W25" s="13"/>
      <c r="X25" s="13"/>
      <c r="Y25" s="13"/>
      <c r="Z25" s="13"/>
    </row>
    <row r="26" ht="15.75" customHeight="1">
      <c r="A26" s="13">
        <v>14.0</v>
      </c>
      <c r="B26" s="216" t="s">
        <v>590</v>
      </c>
      <c r="C26" s="217">
        <v>8.0</v>
      </c>
      <c r="D26" s="217">
        <f t="shared" si="10"/>
        <v>960</v>
      </c>
      <c r="E26" s="218">
        <f t="array" ref="E26">INDEX('Sec 42 Rent Limits'!$C$12:$C$31,MATCH('Income &amp; Expenses (P2)'!$B26,'Sec 42 Rent Limits'!$B$12:$B$31,0))</f>
        <v>1905</v>
      </c>
      <c r="F26" s="218">
        <f t="shared" si="11"/>
        <v>-91</v>
      </c>
      <c r="G26" s="219">
        <f t="shared" si="1"/>
        <v>1814</v>
      </c>
      <c r="H26" s="215">
        <f t="shared" si="2"/>
        <v>174144</v>
      </c>
      <c r="I26" s="13"/>
      <c r="J26" s="13"/>
      <c r="K26" s="13"/>
      <c r="L26" s="13"/>
      <c r="M26" s="13"/>
      <c r="N26" s="13"/>
      <c r="O26" s="13"/>
      <c r="P26" s="13"/>
      <c r="Q26" s="13"/>
      <c r="R26" s="13"/>
      <c r="S26" s="13"/>
      <c r="T26" s="13"/>
      <c r="U26" s="13"/>
      <c r="V26" s="13"/>
      <c r="W26" s="13"/>
      <c r="X26" s="13"/>
      <c r="Y26" s="13"/>
      <c r="Z26" s="13"/>
    </row>
    <row r="27" ht="15.75" customHeight="1">
      <c r="A27" s="13">
        <v>15.0</v>
      </c>
      <c r="B27" s="216" t="s">
        <v>591</v>
      </c>
      <c r="C27" s="217">
        <v>4.0</v>
      </c>
      <c r="D27" s="217">
        <f t="shared" si="10"/>
        <v>960</v>
      </c>
      <c r="E27" s="218">
        <f t="array" ref="E27">INDEX('Sec 42 Rent Limits'!$C$12:$C$31,MATCH('Income &amp; Expenses (P2)'!$B27,'Sec 42 Rent Limits'!$B$12:$B$31,0))</f>
        <v>2540</v>
      </c>
      <c r="F27" s="218">
        <f t="shared" si="11"/>
        <v>-91</v>
      </c>
      <c r="G27" s="219">
        <f t="shared" si="1"/>
        <v>2449</v>
      </c>
      <c r="H27" s="215">
        <f t="shared" si="2"/>
        <v>117552</v>
      </c>
      <c r="I27" s="13"/>
      <c r="J27" s="13"/>
      <c r="K27" s="13"/>
      <c r="L27" s="13"/>
      <c r="M27" s="13"/>
      <c r="N27" s="13"/>
      <c r="O27" s="13"/>
      <c r="P27" s="13"/>
      <c r="Q27" s="13"/>
      <c r="R27" s="13"/>
      <c r="S27" s="13"/>
      <c r="T27" s="13"/>
      <c r="U27" s="13"/>
      <c r="V27" s="13"/>
      <c r="W27" s="13"/>
      <c r="X27" s="13"/>
      <c r="Y27" s="13"/>
      <c r="Z27" s="13"/>
    </row>
    <row r="28" ht="15.75" customHeight="1">
      <c r="A28" s="13">
        <v>16.0</v>
      </c>
      <c r="B28" s="216" t="s">
        <v>208</v>
      </c>
      <c r="C28" s="217">
        <v>0.0</v>
      </c>
      <c r="D28" s="217"/>
      <c r="E28" s="218">
        <v>0.0</v>
      </c>
      <c r="F28" s="218">
        <v>0.0</v>
      </c>
      <c r="G28" s="219">
        <f t="shared" si="1"/>
        <v>0</v>
      </c>
      <c r="H28" s="215">
        <f t="shared" si="2"/>
        <v>0</v>
      </c>
      <c r="I28" s="13"/>
      <c r="J28" s="13"/>
      <c r="K28" s="13"/>
      <c r="L28" s="13"/>
      <c r="M28" s="13"/>
      <c r="N28" s="13"/>
      <c r="O28" s="13"/>
      <c r="P28" s="13"/>
      <c r="Q28" s="13"/>
      <c r="R28" s="13"/>
      <c r="S28" s="13"/>
      <c r="T28" s="13"/>
      <c r="U28" s="13"/>
      <c r="V28" s="13"/>
      <c r="W28" s="13"/>
      <c r="X28" s="13"/>
      <c r="Y28" s="13"/>
      <c r="Z28" s="13"/>
    </row>
    <row r="29" ht="15.75" customHeight="1">
      <c r="A29" s="13">
        <v>17.0</v>
      </c>
      <c r="B29" s="216" t="s">
        <v>209</v>
      </c>
      <c r="C29" s="217">
        <v>0.0</v>
      </c>
      <c r="D29" s="217"/>
      <c r="E29" s="217">
        <v>0.0</v>
      </c>
      <c r="F29" s="217">
        <v>0.0</v>
      </c>
      <c r="G29" s="162">
        <f t="shared" si="1"/>
        <v>0</v>
      </c>
      <c r="H29" s="223">
        <f t="shared" si="2"/>
        <v>0</v>
      </c>
      <c r="I29" s="13"/>
      <c r="J29" s="13"/>
      <c r="K29" s="13"/>
      <c r="L29" s="13"/>
      <c r="M29" s="13"/>
      <c r="N29" s="13"/>
      <c r="O29" s="13"/>
      <c r="P29" s="13"/>
      <c r="Q29" s="13"/>
      <c r="R29" s="13"/>
      <c r="S29" s="13"/>
      <c r="T29" s="13"/>
      <c r="U29" s="13"/>
      <c r="V29" s="13"/>
      <c r="W29" s="13"/>
      <c r="X29" s="13"/>
      <c r="Y29" s="13"/>
      <c r="Z29" s="13"/>
    </row>
    <row r="30" ht="15.75" customHeight="1">
      <c r="A30" s="13">
        <v>18.0</v>
      </c>
      <c r="B30" s="216" t="s">
        <v>210</v>
      </c>
      <c r="C30" s="217">
        <v>0.0</v>
      </c>
      <c r="D30" s="217"/>
      <c r="E30" s="217">
        <v>0.0</v>
      </c>
      <c r="F30" s="217">
        <v>0.0</v>
      </c>
      <c r="G30" s="162">
        <f t="shared" si="1"/>
        <v>0</v>
      </c>
      <c r="H30" s="223">
        <f t="shared" si="2"/>
        <v>0</v>
      </c>
      <c r="I30" s="13"/>
      <c r="J30" s="13"/>
      <c r="K30" s="13"/>
      <c r="L30" s="13"/>
      <c r="M30" s="13"/>
      <c r="N30" s="13"/>
      <c r="O30" s="13"/>
      <c r="P30" s="13"/>
      <c r="Q30" s="13"/>
      <c r="R30" s="13"/>
      <c r="S30" s="13"/>
      <c r="T30" s="13"/>
      <c r="U30" s="13"/>
      <c r="V30" s="13"/>
      <c r="W30" s="13"/>
      <c r="X30" s="13"/>
      <c r="Y30" s="13"/>
      <c r="Z30" s="13"/>
    </row>
    <row r="31" ht="15.75" customHeight="1">
      <c r="A31" s="13">
        <v>19.0</v>
      </c>
      <c r="B31" s="216" t="s">
        <v>211</v>
      </c>
      <c r="C31" s="217">
        <v>0.0</v>
      </c>
      <c r="D31" s="217"/>
      <c r="E31" s="217">
        <v>0.0</v>
      </c>
      <c r="F31" s="217">
        <v>0.0</v>
      </c>
      <c r="G31" s="162">
        <f t="shared" si="1"/>
        <v>0</v>
      </c>
      <c r="H31" s="223">
        <f t="shared" si="2"/>
        <v>0</v>
      </c>
      <c r="I31" s="13"/>
      <c r="J31" s="13"/>
      <c r="K31" s="13"/>
      <c r="L31" s="13"/>
      <c r="M31" s="13"/>
      <c r="N31" s="13"/>
      <c r="O31" s="13"/>
      <c r="P31" s="13"/>
      <c r="Q31" s="13"/>
      <c r="R31" s="13"/>
      <c r="S31" s="13"/>
      <c r="T31" s="13"/>
      <c r="U31" s="13"/>
      <c r="V31" s="13"/>
      <c r="W31" s="13"/>
      <c r="X31" s="13"/>
      <c r="Y31" s="13"/>
      <c r="Z31" s="13"/>
    </row>
    <row r="32" ht="15.75" customHeight="1">
      <c r="A32" s="13">
        <v>20.0</v>
      </c>
      <c r="B32" s="216" t="s">
        <v>212</v>
      </c>
      <c r="C32" s="217">
        <v>0.0</v>
      </c>
      <c r="D32" s="217"/>
      <c r="E32" s="217">
        <v>0.0</v>
      </c>
      <c r="F32" s="217">
        <v>0.0</v>
      </c>
      <c r="G32" s="162">
        <f t="shared" si="1"/>
        <v>0</v>
      </c>
      <c r="H32" s="223">
        <f t="shared" si="2"/>
        <v>0</v>
      </c>
      <c r="I32" s="13"/>
      <c r="J32" s="13"/>
      <c r="K32" s="13"/>
      <c r="L32" s="13"/>
      <c r="M32" s="13"/>
      <c r="N32" s="13"/>
      <c r="O32" s="13"/>
      <c r="P32" s="13"/>
      <c r="Q32" s="13"/>
      <c r="R32" s="13"/>
      <c r="S32" s="13"/>
      <c r="T32" s="13"/>
      <c r="U32" s="13"/>
      <c r="V32" s="13"/>
      <c r="W32" s="13"/>
      <c r="X32" s="13"/>
      <c r="Y32" s="13"/>
      <c r="Z32" s="13"/>
    </row>
    <row r="33" ht="15.75" customHeight="1">
      <c r="A33" s="13">
        <v>21.0</v>
      </c>
      <c r="B33" s="216" t="s">
        <v>213</v>
      </c>
      <c r="C33" s="217">
        <v>0.0</v>
      </c>
      <c r="D33" s="217"/>
      <c r="E33" s="217">
        <v>0.0</v>
      </c>
      <c r="F33" s="217">
        <v>0.0</v>
      </c>
      <c r="G33" s="162">
        <f t="shared" si="1"/>
        <v>0</v>
      </c>
      <c r="H33" s="223">
        <f t="shared" si="2"/>
        <v>0</v>
      </c>
      <c r="I33" s="13"/>
      <c r="J33" s="13"/>
      <c r="K33" s="13"/>
      <c r="L33" s="13"/>
      <c r="M33" s="13"/>
      <c r="N33" s="13"/>
      <c r="O33" s="13"/>
      <c r="P33" s="13"/>
      <c r="Q33" s="13"/>
      <c r="R33" s="13"/>
      <c r="S33" s="13"/>
      <c r="T33" s="13"/>
      <c r="U33" s="13"/>
      <c r="V33" s="13"/>
      <c r="W33" s="13"/>
      <c r="X33" s="13"/>
      <c r="Y33" s="13"/>
      <c r="Z33" s="13"/>
    </row>
    <row r="34" ht="15.75" customHeight="1">
      <c r="A34" s="13">
        <v>22.0</v>
      </c>
      <c r="B34" s="216" t="s">
        <v>214</v>
      </c>
      <c r="C34" s="217">
        <v>0.0</v>
      </c>
      <c r="D34" s="217"/>
      <c r="E34" s="217">
        <v>0.0</v>
      </c>
      <c r="F34" s="217">
        <v>0.0</v>
      </c>
      <c r="G34" s="162">
        <f t="shared" si="1"/>
        <v>0</v>
      </c>
      <c r="H34" s="223">
        <f t="shared" si="2"/>
        <v>0</v>
      </c>
      <c r="I34" s="13"/>
      <c r="J34" s="13"/>
      <c r="K34" s="13"/>
      <c r="L34" s="13"/>
      <c r="M34" s="13"/>
      <c r="N34" s="13"/>
      <c r="O34" s="13"/>
      <c r="P34" s="13"/>
      <c r="Q34" s="13"/>
      <c r="R34" s="13"/>
      <c r="S34" s="13"/>
      <c r="T34" s="13"/>
      <c r="U34" s="13"/>
      <c r="V34" s="13"/>
      <c r="W34" s="13"/>
      <c r="X34" s="13"/>
      <c r="Y34" s="13"/>
      <c r="Z34" s="13"/>
    </row>
    <row r="35" ht="15.75" customHeight="1">
      <c r="A35" s="13">
        <v>23.0</v>
      </c>
      <c r="B35" s="216" t="s">
        <v>215</v>
      </c>
      <c r="C35" s="217">
        <v>0.0</v>
      </c>
      <c r="D35" s="217"/>
      <c r="E35" s="217">
        <v>0.0</v>
      </c>
      <c r="F35" s="217">
        <v>0.0</v>
      </c>
      <c r="G35" s="162">
        <f t="shared" si="1"/>
        <v>0</v>
      </c>
      <c r="H35" s="223">
        <f t="shared" si="2"/>
        <v>0</v>
      </c>
      <c r="I35" s="13"/>
      <c r="J35" s="13"/>
      <c r="K35" s="13"/>
      <c r="L35" s="13"/>
      <c r="M35" s="13"/>
      <c r="N35" s="13"/>
      <c r="O35" s="13"/>
      <c r="P35" s="13"/>
      <c r="Q35" s="13"/>
      <c r="R35" s="13"/>
      <c r="S35" s="13"/>
      <c r="T35" s="13"/>
      <c r="U35" s="13"/>
      <c r="V35" s="13"/>
      <c r="W35" s="13"/>
      <c r="X35" s="13"/>
      <c r="Y35" s="13"/>
      <c r="Z35" s="13"/>
    </row>
    <row r="36" ht="15.75" customHeight="1">
      <c r="A36" s="13">
        <v>24.0</v>
      </c>
      <c r="B36" s="216" t="s">
        <v>216</v>
      </c>
      <c r="C36" s="217">
        <v>0.0</v>
      </c>
      <c r="D36" s="217"/>
      <c r="E36" s="217">
        <v>0.0</v>
      </c>
      <c r="F36" s="217">
        <v>0.0</v>
      </c>
      <c r="G36" s="162">
        <f t="shared" si="1"/>
        <v>0</v>
      </c>
      <c r="H36" s="223">
        <f t="shared" si="2"/>
        <v>0</v>
      </c>
      <c r="I36" s="13"/>
      <c r="J36" s="13"/>
      <c r="K36" s="13"/>
      <c r="L36" s="13"/>
      <c r="M36" s="13"/>
      <c r="N36" s="13"/>
      <c r="O36" s="13"/>
      <c r="P36" s="13"/>
      <c r="Q36" s="13"/>
      <c r="R36" s="13"/>
      <c r="S36" s="13"/>
      <c r="T36" s="13"/>
      <c r="U36" s="13"/>
      <c r="V36" s="13"/>
      <c r="W36" s="13"/>
      <c r="X36" s="13"/>
      <c r="Y36" s="13"/>
      <c r="Z36" s="13"/>
    </row>
    <row r="37" ht="15.75" customHeight="1">
      <c r="A37" s="13">
        <v>25.0</v>
      </c>
      <c r="B37" s="216" t="s">
        <v>217</v>
      </c>
      <c r="C37" s="220">
        <v>0.0</v>
      </c>
      <c r="D37" s="220"/>
      <c r="E37" s="220">
        <v>0.0</v>
      </c>
      <c r="F37" s="220">
        <v>0.0</v>
      </c>
      <c r="G37" s="224">
        <f t="shared" si="1"/>
        <v>0</v>
      </c>
      <c r="H37" s="223">
        <f t="shared" si="2"/>
        <v>0</v>
      </c>
      <c r="I37" s="13"/>
      <c r="J37" s="13"/>
      <c r="K37" s="13"/>
      <c r="L37" s="13"/>
      <c r="M37" s="13"/>
      <c r="N37" s="13"/>
      <c r="O37" s="13"/>
      <c r="P37" s="13"/>
      <c r="Q37" s="13"/>
      <c r="R37" s="13"/>
      <c r="S37" s="13"/>
      <c r="T37" s="13"/>
      <c r="U37" s="13"/>
      <c r="V37" s="13"/>
      <c r="W37" s="13"/>
      <c r="X37" s="13"/>
      <c r="Y37" s="13"/>
      <c r="Z37" s="13"/>
    </row>
    <row r="38" ht="15.75" customHeight="1">
      <c r="A38" s="13"/>
      <c r="B38" s="225" t="s">
        <v>218</v>
      </c>
      <c r="C38" s="226">
        <f>SUM(C13:C37)</f>
        <v>128</v>
      </c>
      <c r="D38" s="227"/>
      <c r="E38" s="227"/>
      <c r="F38" s="227"/>
      <c r="G38" s="228" t="s">
        <v>219</v>
      </c>
      <c r="H38" s="229">
        <f>SUM(H13:H37)</f>
        <v>1848096</v>
      </c>
      <c r="I38" s="13"/>
      <c r="J38" s="13"/>
      <c r="K38" s="13"/>
      <c r="L38" s="13"/>
      <c r="M38" s="13"/>
      <c r="N38" s="13"/>
      <c r="O38" s="13"/>
      <c r="P38" s="13"/>
      <c r="Q38" s="13"/>
      <c r="R38" s="13"/>
      <c r="S38" s="13"/>
      <c r="T38" s="13"/>
      <c r="U38" s="13"/>
      <c r="V38" s="13"/>
      <c r="W38" s="13"/>
      <c r="X38" s="13"/>
      <c r="Y38" s="13"/>
      <c r="Z38" s="13"/>
    </row>
    <row r="39" ht="15.75" customHeight="1">
      <c r="A39" s="13"/>
      <c r="B39" s="448" t="s">
        <v>592</v>
      </c>
      <c r="C39" s="449">
        <f>SUM(C13:C15,C18:C20,C23:C25)/unit_two</f>
        <v>0.640625</v>
      </c>
      <c r="D39" s="13"/>
      <c r="E39" s="13"/>
      <c r="F39" s="13"/>
      <c r="G39" s="13"/>
      <c r="H39" s="13"/>
      <c r="I39" s="13"/>
      <c r="J39" s="13"/>
      <c r="K39" s="13"/>
      <c r="L39" s="13"/>
      <c r="M39" s="13"/>
      <c r="N39" s="13"/>
      <c r="O39" s="13"/>
      <c r="P39" s="13"/>
      <c r="Q39" s="13"/>
      <c r="R39" s="13"/>
      <c r="S39" s="13"/>
      <c r="T39" s="13"/>
      <c r="U39" s="13"/>
      <c r="V39" s="13"/>
      <c r="W39" s="13"/>
      <c r="X39" s="13"/>
      <c r="Y39" s="13"/>
      <c r="Z39" s="13"/>
    </row>
    <row r="40" ht="15.75" customHeight="1">
      <c r="A40" s="13"/>
      <c r="B40" s="231" t="s">
        <v>221</v>
      </c>
      <c r="C40" s="13"/>
      <c r="D40" s="13"/>
      <c r="E40" s="13"/>
      <c r="F40" s="13"/>
      <c r="G40" s="13"/>
      <c r="H40" s="13"/>
      <c r="I40" s="13"/>
      <c r="J40" s="13"/>
      <c r="K40" s="13"/>
      <c r="L40" s="13"/>
      <c r="M40" s="13"/>
      <c r="N40" s="13"/>
      <c r="O40" s="13"/>
      <c r="P40" s="13"/>
      <c r="Q40" s="13"/>
      <c r="R40" s="13"/>
      <c r="S40" s="13"/>
      <c r="T40" s="13"/>
      <c r="U40" s="13"/>
      <c r="V40" s="13"/>
      <c r="W40" s="13"/>
      <c r="X40" s="13"/>
      <c r="Y40" s="13"/>
      <c r="Z40" s="13"/>
    </row>
    <row r="41" ht="15.75" customHeight="1">
      <c r="A41" s="13"/>
      <c r="B41" s="230"/>
      <c r="C41" s="13"/>
      <c r="D41" s="13"/>
      <c r="E41" s="13"/>
      <c r="F41" s="13"/>
      <c r="G41" s="13"/>
      <c r="H41" s="13"/>
      <c r="I41" s="13"/>
      <c r="J41" s="13"/>
      <c r="K41" s="13"/>
      <c r="L41" s="13"/>
      <c r="M41" s="13"/>
      <c r="N41" s="13"/>
      <c r="O41" s="13"/>
      <c r="P41" s="13"/>
      <c r="Q41" s="13"/>
      <c r="R41" s="13"/>
      <c r="S41" s="13"/>
      <c r="T41" s="13"/>
      <c r="U41" s="13"/>
      <c r="V41" s="13"/>
      <c r="W41" s="13"/>
      <c r="X41" s="13"/>
      <c r="Y41" s="13"/>
      <c r="Z41" s="13"/>
    </row>
    <row r="42" ht="15.75" customHeight="1">
      <c r="A42" s="13"/>
      <c r="B42" s="208" t="s">
        <v>222</v>
      </c>
      <c r="C42" s="209" t="s">
        <v>223</v>
      </c>
      <c r="D42" s="209" t="s">
        <v>224</v>
      </c>
      <c r="E42" s="209" t="s">
        <v>225</v>
      </c>
      <c r="F42" s="209" t="s">
        <v>226</v>
      </c>
      <c r="G42" s="13"/>
      <c r="H42" s="13"/>
      <c r="I42" s="13"/>
      <c r="J42" s="13"/>
      <c r="K42" s="13"/>
      <c r="L42" s="13"/>
      <c r="M42" s="13"/>
      <c r="N42" s="13"/>
      <c r="O42" s="13"/>
      <c r="P42" s="13"/>
      <c r="Q42" s="13"/>
      <c r="R42" s="13"/>
      <c r="S42" s="13"/>
      <c r="T42" s="13"/>
      <c r="U42" s="13"/>
      <c r="V42" s="13"/>
      <c r="W42" s="13"/>
      <c r="X42" s="13"/>
      <c r="Y42" s="13"/>
      <c r="Z42" s="13"/>
    </row>
    <row r="43" ht="15.75" customHeight="1">
      <c r="A43" s="13">
        <v>1.0</v>
      </c>
      <c r="B43" s="76" t="s">
        <v>227</v>
      </c>
      <c r="C43" s="212">
        <f>unit_two</f>
        <v>128</v>
      </c>
      <c r="D43" s="154">
        <f>'Assumptions (P2)'!D40</f>
        <v>5</v>
      </c>
      <c r="E43" s="232">
        <f t="shared" ref="E43:E47" si="12">C43*D43</f>
        <v>640</v>
      </c>
      <c r="F43" s="232">
        <f t="shared" ref="F43:F47" si="13">E43*12</f>
        <v>7680</v>
      </c>
      <c r="G43" s="13"/>
      <c r="H43" s="13"/>
      <c r="I43" s="13"/>
      <c r="J43" s="13"/>
      <c r="K43" s="13"/>
      <c r="L43" s="13"/>
      <c r="M43" s="13"/>
      <c r="N43" s="13"/>
      <c r="O43" s="13"/>
      <c r="P43" s="13"/>
      <c r="Q43" s="13"/>
      <c r="R43" s="13"/>
      <c r="S43" s="13"/>
      <c r="T43" s="13"/>
      <c r="U43" s="13"/>
      <c r="V43" s="13"/>
      <c r="W43" s="13"/>
      <c r="X43" s="13"/>
      <c r="Y43" s="13"/>
      <c r="Z43" s="13"/>
    </row>
    <row r="44" ht="15.75" customHeight="1">
      <c r="A44" s="13">
        <v>2.0</v>
      </c>
      <c r="B44" s="233" t="s">
        <v>593</v>
      </c>
      <c r="C44" s="217"/>
      <c r="D44" s="113">
        <v>0.0</v>
      </c>
      <c r="E44" s="136">
        <f t="shared" si="12"/>
        <v>0</v>
      </c>
      <c r="F44" s="136">
        <f t="shared" si="13"/>
        <v>0</v>
      </c>
      <c r="G44" s="13"/>
      <c r="H44" s="13"/>
      <c r="I44" s="13"/>
      <c r="J44" s="13"/>
      <c r="K44" s="13"/>
      <c r="L44" s="13"/>
      <c r="M44" s="13"/>
      <c r="N44" s="13"/>
      <c r="O44" s="13"/>
      <c r="P44" s="13"/>
      <c r="Q44" s="13"/>
      <c r="R44" s="13"/>
      <c r="S44" s="13"/>
      <c r="T44" s="13"/>
      <c r="U44" s="13"/>
      <c r="V44" s="13"/>
      <c r="W44" s="13"/>
      <c r="X44" s="13"/>
      <c r="Y44" s="13"/>
      <c r="Z44" s="13"/>
    </row>
    <row r="45" ht="15.75" customHeight="1">
      <c r="A45" s="13">
        <v>3.0</v>
      </c>
      <c r="B45" s="234" t="s">
        <v>228</v>
      </c>
      <c r="C45" s="217"/>
      <c r="D45" s="113"/>
      <c r="E45" s="136">
        <f t="shared" si="12"/>
        <v>0</v>
      </c>
      <c r="F45" s="136">
        <f t="shared" si="13"/>
        <v>0</v>
      </c>
      <c r="G45" s="13"/>
      <c r="H45" s="13"/>
      <c r="I45" s="13"/>
      <c r="J45" s="13"/>
      <c r="K45" s="13"/>
      <c r="L45" s="13"/>
      <c r="M45" s="13"/>
      <c r="N45" s="13"/>
      <c r="O45" s="13"/>
      <c r="P45" s="13"/>
      <c r="Q45" s="13"/>
      <c r="R45" s="13"/>
      <c r="S45" s="13"/>
      <c r="T45" s="13"/>
      <c r="U45" s="13"/>
      <c r="V45" s="13"/>
      <c r="W45" s="13"/>
      <c r="X45" s="13"/>
      <c r="Y45" s="13"/>
      <c r="Z45" s="13"/>
    </row>
    <row r="46" ht="15.75" customHeight="1">
      <c r="A46" s="13">
        <v>4.0</v>
      </c>
      <c r="B46" s="233" t="s">
        <v>229</v>
      </c>
      <c r="C46" s="217"/>
      <c r="D46" s="113"/>
      <c r="E46" s="136">
        <f t="shared" si="12"/>
        <v>0</v>
      </c>
      <c r="F46" s="136">
        <f t="shared" si="13"/>
        <v>0</v>
      </c>
      <c r="G46" s="13"/>
      <c r="H46" s="13"/>
      <c r="I46" s="13"/>
      <c r="J46" s="13"/>
      <c r="K46" s="13"/>
      <c r="L46" s="13"/>
      <c r="M46" s="13"/>
      <c r="N46" s="13"/>
      <c r="O46" s="13"/>
      <c r="P46" s="13"/>
      <c r="Q46" s="13"/>
      <c r="R46" s="13"/>
      <c r="S46" s="13"/>
      <c r="T46" s="13"/>
      <c r="U46" s="13"/>
      <c r="V46" s="13"/>
      <c r="W46" s="13"/>
      <c r="X46" s="13"/>
      <c r="Y46" s="13"/>
      <c r="Z46" s="13"/>
    </row>
    <row r="47" ht="15.75" customHeight="1">
      <c r="A47" s="13">
        <v>5.0</v>
      </c>
      <c r="B47" s="235" t="s">
        <v>230</v>
      </c>
      <c r="C47" s="236"/>
      <c r="D47" s="237"/>
      <c r="E47" s="238">
        <f t="shared" si="12"/>
        <v>0</v>
      </c>
      <c r="F47" s="238">
        <f t="shared" si="13"/>
        <v>0</v>
      </c>
      <c r="G47" s="13"/>
      <c r="H47" s="13"/>
      <c r="I47" s="13"/>
      <c r="J47" s="13"/>
      <c r="K47" s="13"/>
      <c r="L47" s="13"/>
      <c r="M47" s="13"/>
      <c r="N47" s="13"/>
      <c r="O47" s="13"/>
      <c r="P47" s="13"/>
      <c r="Q47" s="13"/>
      <c r="R47" s="13"/>
      <c r="S47" s="13"/>
      <c r="T47" s="13"/>
      <c r="U47" s="13"/>
      <c r="V47" s="13"/>
      <c r="W47" s="13"/>
      <c r="X47" s="13"/>
      <c r="Y47" s="13"/>
      <c r="Z47" s="13"/>
    </row>
    <row r="48" ht="15.75" customHeight="1">
      <c r="A48" s="13"/>
      <c r="B48" s="230"/>
      <c r="C48" s="13"/>
      <c r="D48" s="13"/>
      <c r="E48" s="90" t="s">
        <v>231</v>
      </c>
      <c r="F48" s="75">
        <f>SUM(F43:F47)</f>
        <v>7680</v>
      </c>
      <c r="G48" s="13"/>
      <c r="H48" s="13"/>
      <c r="I48" s="13"/>
      <c r="J48" s="13"/>
      <c r="K48" s="13"/>
      <c r="L48" s="13"/>
      <c r="M48" s="13"/>
      <c r="N48" s="13"/>
      <c r="O48" s="13"/>
      <c r="P48" s="13"/>
      <c r="Q48" s="13"/>
      <c r="R48" s="13"/>
      <c r="S48" s="13"/>
      <c r="T48" s="13"/>
      <c r="U48" s="13"/>
      <c r="V48" s="13"/>
      <c r="W48" s="13"/>
      <c r="X48" s="13"/>
      <c r="Y48" s="13"/>
      <c r="Z48" s="13"/>
    </row>
    <row r="49" ht="15.75" customHeight="1">
      <c r="A49" s="13"/>
      <c r="B49" s="231" t="s">
        <v>232</v>
      </c>
      <c r="C49" s="13"/>
      <c r="D49" s="13"/>
      <c r="E49" s="90"/>
      <c r="F49" s="57"/>
      <c r="G49" s="13"/>
      <c r="H49" s="13"/>
      <c r="I49" s="13"/>
      <c r="J49" s="13"/>
      <c r="K49" s="13"/>
      <c r="L49" s="13"/>
      <c r="M49" s="13"/>
      <c r="N49" s="13"/>
      <c r="O49" s="13"/>
      <c r="P49" s="13"/>
      <c r="Q49" s="13"/>
      <c r="R49" s="13"/>
      <c r="S49" s="13"/>
      <c r="T49" s="13"/>
      <c r="U49" s="13"/>
      <c r="V49" s="13"/>
      <c r="W49" s="13"/>
      <c r="X49" s="13"/>
      <c r="Y49" s="13"/>
      <c r="Z49" s="13"/>
    </row>
    <row r="50" ht="15.75" customHeight="1">
      <c r="A50" s="13"/>
      <c r="B50" s="231"/>
      <c r="C50" s="13"/>
      <c r="D50" s="13"/>
      <c r="E50" s="90"/>
      <c r="F50" s="57"/>
      <c r="G50" s="13"/>
      <c r="H50" s="13"/>
      <c r="I50" s="13"/>
      <c r="J50" s="13"/>
      <c r="K50" s="13"/>
      <c r="L50" s="13"/>
      <c r="M50" s="13"/>
      <c r="N50" s="13"/>
      <c r="O50" s="13"/>
      <c r="P50" s="13"/>
      <c r="Q50" s="13"/>
      <c r="R50" s="13"/>
      <c r="S50" s="13"/>
      <c r="T50" s="13"/>
      <c r="U50" s="13"/>
      <c r="V50" s="13"/>
      <c r="W50" s="13"/>
      <c r="X50" s="13"/>
      <c r="Y50" s="13"/>
      <c r="Z50" s="13"/>
    </row>
    <row r="51" ht="15.75" customHeight="1">
      <c r="A51" s="13"/>
      <c r="B51" s="208" t="s">
        <v>233</v>
      </c>
      <c r="C51" s="208" t="s">
        <v>234</v>
      </c>
      <c r="D51" s="208" t="s">
        <v>235</v>
      </c>
      <c r="E51" s="208" t="s">
        <v>236</v>
      </c>
      <c r="F51" s="239" t="s">
        <v>189</v>
      </c>
      <c r="G51" s="239" t="s">
        <v>192</v>
      </c>
      <c r="H51" s="208" t="s">
        <v>237</v>
      </c>
      <c r="I51" s="208" t="s">
        <v>238</v>
      </c>
      <c r="J51" s="208" t="s">
        <v>239</v>
      </c>
      <c r="K51" s="239" t="s">
        <v>226</v>
      </c>
      <c r="L51" s="13"/>
      <c r="M51" s="13"/>
      <c r="N51" s="13"/>
      <c r="O51" s="13"/>
      <c r="P51" s="13"/>
      <c r="Q51" s="13"/>
      <c r="R51" s="13"/>
      <c r="S51" s="13"/>
      <c r="T51" s="13"/>
      <c r="U51" s="13"/>
      <c r="V51" s="13"/>
      <c r="W51" s="13"/>
      <c r="X51" s="13"/>
      <c r="Y51" s="13"/>
      <c r="Z51" s="13"/>
    </row>
    <row r="52" ht="15.75" customHeight="1">
      <c r="A52" s="13">
        <v>1.0</v>
      </c>
      <c r="B52" s="76" t="s">
        <v>240</v>
      </c>
      <c r="C52" s="76"/>
      <c r="D52" s="240"/>
      <c r="E52" s="241"/>
      <c r="F52" s="114">
        <f t="shared" ref="F52:F61" si="14">G52/12</f>
        <v>0</v>
      </c>
      <c r="G52" s="114">
        <f t="shared" ref="G52:G61" si="15">E52*D52</f>
        <v>0</v>
      </c>
      <c r="H52" s="242"/>
      <c r="I52" s="243"/>
      <c r="J52" s="244"/>
      <c r="K52" s="84">
        <f t="shared" ref="K52:K61" si="16">(H52*D52)+(I52*D52)+(J52*D52)+G52</f>
        <v>0</v>
      </c>
      <c r="L52" s="13"/>
      <c r="M52" s="13"/>
      <c r="N52" s="13"/>
      <c r="O52" s="13"/>
      <c r="P52" s="13"/>
      <c r="Q52" s="13"/>
      <c r="R52" s="13"/>
      <c r="S52" s="13"/>
      <c r="T52" s="13"/>
      <c r="U52" s="13"/>
      <c r="V52" s="13"/>
      <c r="W52" s="13"/>
      <c r="X52" s="13"/>
      <c r="Y52" s="13"/>
      <c r="Z52" s="13"/>
    </row>
    <row r="53" ht="15.75" customHeight="1">
      <c r="A53" s="13">
        <v>2.0</v>
      </c>
      <c r="B53" s="216" t="s">
        <v>241</v>
      </c>
      <c r="C53" s="216"/>
      <c r="D53" s="245"/>
      <c r="E53" s="115"/>
      <c r="F53" s="114">
        <f t="shared" si="14"/>
        <v>0</v>
      </c>
      <c r="G53" s="114">
        <f t="shared" si="15"/>
        <v>0</v>
      </c>
      <c r="H53" s="246"/>
      <c r="I53" s="247"/>
      <c r="J53" s="248"/>
      <c r="K53" s="84">
        <f t="shared" si="16"/>
        <v>0</v>
      </c>
      <c r="L53" s="13"/>
      <c r="M53" s="13"/>
      <c r="N53" s="13"/>
      <c r="O53" s="13"/>
      <c r="P53" s="13"/>
      <c r="Q53" s="13"/>
      <c r="R53" s="13"/>
      <c r="S53" s="13"/>
      <c r="T53" s="13"/>
      <c r="U53" s="13"/>
      <c r="V53" s="13"/>
      <c r="W53" s="13"/>
      <c r="X53" s="13"/>
      <c r="Y53" s="13"/>
      <c r="Z53" s="13"/>
    </row>
    <row r="54" ht="15.75" customHeight="1">
      <c r="A54" s="13">
        <v>3.0</v>
      </c>
      <c r="B54" s="216" t="s">
        <v>242</v>
      </c>
      <c r="C54" s="216"/>
      <c r="D54" s="245"/>
      <c r="E54" s="115"/>
      <c r="F54" s="114">
        <f t="shared" si="14"/>
        <v>0</v>
      </c>
      <c r="G54" s="114">
        <f t="shared" si="15"/>
        <v>0</v>
      </c>
      <c r="H54" s="246"/>
      <c r="I54" s="247"/>
      <c r="J54" s="248"/>
      <c r="K54" s="84">
        <f t="shared" si="16"/>
        <v>0</v>
      </c>
      <c r="L54" s="13"/>
      <c r="M54" s="13"/>
      <c r="N54" s="13"/>
      <c r="O54" s="13"/>
      <c r="P54" s="13"/>
      <c r="Q54" s="13"/>
      <c r="R54" s="13"/>
      <c r="S54" s="13"/>
      <c r="T54" s="13"/>
      <c r="U54" s="13"/>
      <c r="V54" s="13"/>
      <c r="W54" s="13"/>
      <c r="X54" s="13"/>
      <c r="Y54" s="13"/>
      <c r="Z54" s="13"/>
    </row>
    <row r="55" ht="15.75" customHeight="1">
      <c r="A55" s="13">
        <v>4.0</v>
      </c>
      <c r="B55" s="216" t="s">
        <v>243</v>
      </c>
      <c r="C55" s="216"/>
      <c r="D55" s="245"/>
      <c r="E55" s="115"/>
      <c r="F55" s="114">
        <f t="shared" si="14"/>
        <v>0</v>
      </c>
      <c r="G55" s="114">
        <f t="shared" si="15"/>
        <v>0</v>
      </c>
      <c r="H55" s="246"/>
      <c r="I55" s="247"/>
      <c r="J55" s="248"/>
      <c r="K55" s="84">
        <f t="shared" si="16"/>
        <v>0</v>
      </c>
      <c r="L55" s="13"/>
      <c r="M55" s="13"/>
      <c r="N55" s="13"/>
      <c r="O55" s="13"/>
      <c r="P55" s="13"/>
      <c r="Q55" s="13"/>
      <c r="R55" s="13"/>
      <c r="S55" s="13"/>
      <c r="T55" s="13"/>
      <c r="U55" s="13"/>
      <c r="V55" s="13"/>
      <c r="W55" s="13"/>
      <c r="X55" s="13"/>
      <c r="Y55" s="13"/>
      <c r="Z55" s="13"/>
    </row>
    <row r="56" ht="15.75" customHeight="1">
      <c r="A56" s="13">
        <v>5.0</v>
      </c>
      <c r="B56" s="216" t="s">
        <v>244</v>
      </c>
      <c r="C56" s="216"/>
      <c r="D56" s="245"/>
      <c r="E56" s="115"/>
      <c r="F56" s="114">
        <f t="shared" si="14"/>
        <v>0</v>
      </c>
      <c r="G56" s="114">
        <f t="shared" si="15"/>
        <v>0</v>
      </c>
      <c r="H56" s="246"/>
      <c r="I56" s="247"/>
      <c r="J56" s="248"/>
      <c r="K56" s="84">
        <f t="shared" si="16"/>
        <v>0</v>
      </c>
      <c r="L56" s="13"/>
      <c r="M56" s="13"/>
      <c r="N56" s="13"/>
      <c r="O56" s="13"/>
      <c r="P56" s="13"/>
      <c r="Q56" s="13"/>
      <c r="R56" s="13"/>
      <c r="S56" s="13"/>
      <c r="T56" s="13"/>
      <c r="U56" s="13"/>
      <c r="V56" s="13"/>
      <c r="W56" s="13"/>
      <c r="X56" s="13"/>
      <c r="Y56" s="13"/>
      <c r="Z56" s="13"/>
    </row>
    <row r="57" ht="15.75" customHeight="1">
      <c r="A57" s="13">
        <v>6.0</v>
      </c>
      <c r="B57" s="216" t="s">
        <v>245</v>
      </c>
      <c r="C57" s="216"/>
      <c r="D57" s="245"/>
      <c r="E57" s="115"/>
      <c r="F57" s="114">
        <f t="shared" si="14"/>
        <v>0</v>
      </c>
      <c r="G57" s="114">
        <f t="shared" si="15"/>
        <v>0</v>
      </c>
      <c r="H57" s="246"/>
      <c r="I57" s="247"/>
      <c r="J57" s="248"/>
      <c r="K57" s="84">
        <f t="shared" si="16"/>
        <v>0</v>
      </c>
      <c r="L57" s="13"/>
      <c r="M57" s="13"/>
      <c r="N57" s="13"/>
      <c r="O57" s="13"/>
      <c r="P57" s="13"/>
      <c r="Q57" s="13"/>
      <c r="R57" s="13"/>
      <c r="S57" s="13"/>
      <c r="T57" s="13"/>
      <c r="U57" s="13"/>
      <c r="V57" s="13"/>
      <c r="W57" s="13"/>
      <c r="X57" s="13"/>
      <c r="Y57" s="13"/>
      <c r="Z57" s="13"/>
    </row>
    <row r="58" ht="15.75" customHeight="1">
      <c r="A58" s="13">
        <v>7.0</v>
      </c>
      <c r="B58" s="216" t="s">
        <v>246</v>
      </c>
      <c r="C58" s="216"/>
      <c r="D58" s="245"/>
      <c r="E58" s="115"/>
      <c r="F58" s="114">
        <f t="shared" si="14"/>
        <v>0</v>
      </c>
      <c r="G58" s="114">
        <f t="shared" si="15"/>
        <v>0</v>
      </c>
      <c r="H58" s="246"/>
      <c r="I58" s="247"/>
      <c r="J58" s="248"/>
      <c r="K58" s="84">
        <f t="shared" si="16"/>
        <v>0</v>
      </c>
      <c r="L58" s="13"/>
      <c r="M58" s="13"/>
      <c r="N58" s="13"/>
      <c r="O58" s="13"/>
      <c r="P58" s="13"/>
      <c r="Q58" s="13"/>
      <c r="R58" s="13"/>
      <c r="S58" s="13"/>
      <c r="T58" s="13"/>
      <c r="U58" s="13"/>
      <c r="V58" s="13"/>
      <c r="W58" s="13"/>
      <c r="X58" s="13"/>
      <c r="Y58" s="13"/>
      <c r="Z58" s="13"/>
    </row>
    <row r="59" ht="15.75" customHeight="1">
      <c r="A59" s="13">
        <v>8.0</v>
      </c>
      <c r="B59" s="216" t="s">
        <v>247</v>
      </c>
      <c r="C59" s="216"/>
      <c r="D59" s="245"/>
      <c r="E59" s="115"/>
      <c r="F59" s="114">
        <f t="shared" si="14"/>
        <v>0</v>
      </c>
      <c r="G59" s="114">
        <f t="shared" si="15"/>
        <v>0</v>
      </c>
      <c r="H59" s="246"/>
      <c r="I59" s="247"/>
      <c r="J59" s="248"/>
      <c r="K59" s="84">
        <f t="shared" si="16"/>
        <v>0</v>
      </c>
      <c r="L59" s="13"/>
      <c r="M59" s="13"/>
      <c r="N59" s="13"/>
      <c r="O59" s="13"/>
      <c r="P59" s="13"/>
      <c r="Q59" s="13"/>
      <c r="R59" s="13"/>
      <c r="S59" s="13"/>
      <c r="T59" s="13"/>
      <c r="U59" s="13"/>
      <c r="V59" s="13"/>
      <c r="W59" s="13"/>
      <c r="X59" s="13"/>
      <c r="Y59" s="13"/>
      <c r="Z59" s="13"/>
    </row>
    <row r="60" ht="15.75" customHeight="1">
      <c r="A60" s="13">
        <v>9.0</v>
      </c>
      <c r="B60" s="216" t="s">
        <v>248</v>
      </c>
      <c r="C60" s="216"/>
      <c r="D60" s="245"/>
      <c r="E60" s="115"/>
      <c r="F60" s="114">
        <f t="shared" si="14"/>
        <v>0</v>
      </c>
      <c r="G60" s="114">
        <f t="shared" si="15"/>
        <v>0</v>
      </c>
      <c r="H60" s="246"/>
      <c r="I60" s="247"/>
      <c r="J60" s="248"/>
      <c r="K60" s="84">
        <f t="shared" si="16"/>
        <v>0</v>
      </c>
      <c r="L60" s="13"/>
      <c r="M60" s="13"/>
      <c r="N60" s="13"/>
      <c r="O60" s="13"/>
      <c r="P60" s="13"/>
      <c r="Q60" s="13"/>
      <c r="R60" s="13"/>
      <c r="S60" s="13"/>
      <c r="T60" s="13"/>
      <c r="U60" s="13"/>
      <c r="V60" s="13"/>
      <c r="W60" s="13"/>
      <c r="X60" s="13"/>
      <c r="Y60" s="13"/>
      <c r="Z60" s="13"/>
    </row>
    <row r="61" ht="15.75" customHeight="1">
      <c r="A61" s="249">
        <v>10.0</v>
      </c>
      <c r="B61" s="250" t="s">
        <v>249</v>
      </c>
      <c r="C61" s="251"/>
      <c r="D61" s="252"/>
      <c r="E61" s="253"/>
      <c r="F61" s="254">
        <f t="shared" si="14"/>
        <v>0</v>
      </c>
      <c r="G61" s="254">
        <f t="shared" si="15"/>
        <v>0</v>
      </c>
      <c r="H61" s="253"/>
      <c r="I61" s="253"/>
      <c r="J61" s="255"/>
      <c r="K61" s="256">
        <f t="shared" si="16"/>
        <v>0</v>
      </c>
      <c r="L61" s="13"/>
      <c r="M61" s="13"/>
      <c r="N61" s="13"/>
      <c r="O61" s="13"/>
      <c r="P61" s="13"/>
      <c r="Q61" s="13"/>
      <c r="R61" s="13"/>
      <c r="S61" s="13"/>
      <c r="T61" s="13"/>
      <c r="U61" s="13"/>
      <c r="V61" s="13"/>
      <c r="W61" s="13"/>
      <c r="X61" s="13"/>
      <c r="Y61" s="13"/>
      <c r="Z61" s="13"/>
    </row>
    <row r="62" ht="15.75" customHeight="1">
      <c r="A62" s="13"/>
      <c r="B62" s="230"/>
      <c r="C62" s="13"/>
      <c r="D62" s="13"/>
      <c r="E62" s="90"/>
      <c r="F62" s="57"/>
      <c r="G62" s="13"/>
      <c r="H62" s="13"/>
      <c r="I62" s="13"/>
      <c r="J62" s="257" t="s">
        <v>250</v>
      </c>
      <c r="K62" s="119">
        <f>SUM(K52:K61)</f>
        <v>0</v>
      </c>
      <c r="L62" s="13"/>
      <c r="M62" s="13"/>
      <c r="N62" s="13"/>
      <c r="O62" s="13"/>
      <c r="P62" s="13"/>
      <c r="Q62" s="13"/>
      <c r="R62" s="13"/>
      <c r="S62" s="13"/>
      <c r="T62" s="13"/>
      <c r="U62" s="13"/>
      <c r="V62" s="13"/>
      <c r="W62" s="13"/>
      <c r="X62" s="13"/>
      <c r="Y62" s="13"/>
      <c r="Z62" s="13"/>
    </row>
    <row r="63" ht="15.75" customHeight="1">
      <c r="A63" s="13"/>
      <c r="B63" s="231" t="s">
        <v>251</v>
      </c>
      <c r="C63" s="13"/>
      <c r="D63" s="13"/>
      <c r="E63" s="13"/>
      <c r="F63" s="13"/>
      <c r="G63" s="13"/>
      <c r="H63" s="13"/>
      <c r="I63" s="13"/>
      <c r="J63" s="13"/>
      <c r="K63" s="13"/>
      <c r="L63" s="13"/>
      <c r="M63" s="13"/>
      <c r="N63" s="13"/>
      <c r="O63" s="13"/>
      <c r="P63" s="13"/>
      <c r="Q63" s="13"/>
      <c r="R63" s="13"/>
      <c r="S63" s="13"/>
      <c r="T63" s="13"/>
      <c r="U63" s="13"/>
      <c r="V63" s="13"/>
      <c r="W63" s="13"/>
      <c r="X63" s="13"/>
      <c r="Y63" s="13"/>
      <c r="Z63" s="13"/>
    </row>
    <row r="64" ht="15.75" customHeight="1">
      <c r="A64" s="249"/>
      <c r="B64" s="13"/>
      <c r="C64" s="182"/>
      <c r="D64" s="13"/>
      <c r="E64" s="13"/>
      <c r="F64" s="13"/>
      <c r="G64" s="13"/>
      <c r="H64" s="13"/>
      <c r="I64" s="13"/>
      <c r="J64" s="13"/>
      <c r="K64" s="13"/>
      <c r="L64" s="13"/>
      <c r="M64" s="13"/>
      <c r="N64" s="13"/>
      <c r="O64" s="13"/>
      <c r="P64" s="13"/>
      <c r="Q64" s="13"/>
      <c r="R64" s="13"/>
      <c r="S64" s="13"/>
      <c r="T64" s="13"/>
      <c r="U64" s="13"/>
      <c r="V64" s="13"/>
      <c r="W64" s="13"/>
      <c r="X64" s="13"/>
      <c r="Y64" s="13"/>
      <c r="Z64" s="13"/>
    </row>
    <row r="65" ht="15.75" customHeight="1">
      <c r="A65" s="249"/>
      <c r="B65" s="258" t="s">
        <v>219</v>
      </c>
      <c r="C65" s="259"/>
      <c r="D65" s="84">
        <f>H38</f>
        <v>1848096</v>
      </c>
      <c r="E65" s="13"/>
      <c r="F65" s="13"/>
      <c r="G65" s="13"/>
      <c r="H65" s="13"/>
      <c r="I65" s="13"/>
      <c r="J65" s="13"/>
      <c r="K65" s="13"/>
      <c r="L65" s="13"/>
      <c r="M65" s="13"/>
      <c r="N65" s="13"/>
      <c r="O65" s="13"/>
      <c r="P65" s="13"/>
      <c r="Q65" s="13"/>
      <c r="R65" s="13"/>
      <c r="S65" s="13"/>
      <c r="T65" s="13"/>
      <c r="U65" s="13"/>
      <c r="V65" s="13"/>
      <c r="W65" s="13"/>
      <c r="X65" s="13"/>
      <c r="Y65" s="13"/>
      <c r="Z65" s="13"/>
    </row>
    <row r="66" ht="15.75" customHeight="1">
      <c r="A66" s="249"/>
      <c r="B66" s="260" t="s">
        <v>252</v>
      </c>
      <c r="C66" s="261">
        <f>'Assumptions (P2)'!D37</f>
        <v>0.07</v>
      </c>
      <c r="D66" s="262">
        <f>D65*-C66</f>
        <v>-129366.72</v>
      </c>
      <c r="E66" s="95" t="s">
        <v>253</v>
      </c>
      <c r="F66" s="13"/>
      <c r="G66" s="13"/>
      <c r="H66" s="13"/>
      <c r="I66" s="13"/>
      <c r="J66" s="13"/>
      <c r="K66" s="13"/>
      <c r="L66" s="13"/>
      <c r="M66" s="13"/>
      <c r="N66" s="13"/>
      <c r="O66" s="13"/>
      <c r="P66" s="13"/>
      <c r="Q66" s="13"/>
      <c r="R66" s="13"/>
      <c r="S66" s="13"/>
      <c r="T66" s="13"/>
      <c r="U66" s="13"/>
      <c r="V66" s="13"/>
      <c r="W66" s="13"/>
      <c r="X66" s="13"/>
      <c r="Y66" s="13"/>
      <c r="Z66" s="13"/>
    </row>
    <row r="67" ht="15.75" customHeight="1">
      <c r="A67" s="13"/>
      <c r="B67" s="230"/>
      <c r="C67" s="34" t="s">
        <v>254</v>
      </c>
      <c r="D67" s="263">
        <f>SUM(D65:D66)</f>
        <v>1718729.28</v>
      </c>
      <c r="E67" s="13"/>
      <c r="F67" s="13"/>
      <c r="G67" s="13"/>
      <c r="H67" s="13"/>
      <c r="I67" s="13"/>
      <c r="J67" s="13"/>
      <c r="K67" s="13"/>
      <c r="L67" s="13"/>
      <c r="M67" s="13"/>
      <c r="N67" s="13"/>
      <c r="O67" s="13"/>
      <c r="P67" s="13"/>
      <c r="Q67" s="13"/>
      <c r="R67" s="13"/>
      <c r="S67" s="13"/>
      <c r="T67" s="13"/>
      <c r="U67" s="13"/>
      <c r="V67" s="13"/>
      <c r="W67" s="13"/>
      <c r="X67" s="13"/>
      <c r="Y67" s="13"/>
      <c r="Z67" s="13"/>
    </row>
    <row r="68" ht="15.75" customHeight="1">
      <c r="A68" s="13"/>
      <c r="B68" s="230"/>
      <c r="C68" s="13"/>
      <c r="D68" s="13"/>
      <c r="E68" s="13"/>
      <c r="F68" s="13"/>
      <c r="G68" s="13"/>
      <c r="H68" s="13"/>
      <c r="I68" s="13"/>
      <c r="J68" s="13"/>
      <c r="K68" s="13"/>
      <c r="L68" s="13"/>
      <c r="M68" s="13"/>
      <c r="N68" s="13"/>
      <c r="O68" s="13"/>
      <c r="P68" s="13"/>
      <c r="Q68" s="13"/>
      <c r="R68" s="13"/>
      <c r="S68" s="13"/>
      <c r="T68" s="13"/>
      <c r="U68" s="13"/>
      <c r="V68" s="13"/>
      <c r="W68" s="13"/>
      <c r="X68" s="13"/>
      <c r="Y68" s="13"/>
      <c r="Z68" s="13"/>
    </row>
    <row r="69" ht="15.75" customHeight="1">
      <c r="A69" s="13"/>
      <c r="B69" s="264" t="s">
        <v>250</v>
      </c>
      <c r="C69" s="259"/>
      <c r="D69" s="84">
        <f>K62</f>
        <v>0</v>
      </c>
      <c r="E69" s="13"/>
      <c r="F69" s="13"/>
      <c r="G69" s="13"/>
      <c r="H69" s="13"/>
      <c r="I69" s="13"/>
      <c r="J69" s="13"/>
      <c r="K69" s="13"/>
      <c r="L69" s="13"/>
      <c r="M69" s="13"/>
      <c r="N69" s="13"/>
      <c r="O69" s="13"/>
      <c r="P69" s="13"/>
      <c r="Q69" s="13"/>
      <c r="R69" s="13"/>
      <c r="S69" s="13"/>
      <c r="T69" s="13"/>
      <c r="U69" s="13"/>
      <c r="V69" s="13"/>
      <c r="W69" s="13"/>
      <c r="X69" s="13"/>
      <c r="Y69" s="13"/>
      <c r="Z69" s="13"/>
    </row>
    <row r="70" ht="15.75" customHeight="1">
      <c r="A70" s="13"/>
      <c r="B70" s="260" t="s">
        <v>255</v>
      </c>
      <c r="C70" s="261">
        <v>0.0</v>
      </c>
      <c r="D70" s="262">
        <f>D69*-C70</f>
        <v>0</v>
      </c>
      <c r="E70" s="95" t="s">
        <v>253</v>
      </c>
      <c r="F70" s="13"/>
      <c r="G70" s="13"/>
      <c r="H70" s="13"/>
      <c r="I70" s="13"/>
      <c r="J70" s="13"/>
      <c r="K70" s="13"/>
      <c r="L70" s="13"/>
      <c r="M70" s="13"/>
      <c r="N70" s="13"/>
      <c r="O70" s="13"/>
      <c r="P70" s="13"/>
      <c r="Q70" s="13"/>
      <c r="R70" s="13"/>
      <c r="S70" s="13"/>
      <c r="T70" s="13"/>
      <c r="U70" s="13"/>
      <c r="V70" s="13"/>
      <c r="W70" s="13"/>
      <c r="X70" s="13"/>
      <c r="Y70" s="13"/>
      <c r="Z70" s="13"/>
    </row>
    <row r="71" ht="15.75" customHeight="1">
      <c r="A71" s="13"/>
      <c r="B71" s="230"/>
      <c r="C71" s="34" t="s">
        <v>256</v>
      </c>
      <c r="D71" s="263">
        <f>SUM(D69:D70)</f>
        <v>0</v>
      </c>
      <c r="E71" s="13"/>
      <c r="F71" s="13"/>
      <c r="G71" s="13"/>
      <c r="H71" s="13"/>
      <c r="I71" s="13"/>
      <c r="J71" s="13"/>
      <c r="K71" s="13"/>
      <c r="L71" s="13"/>
      <c r="M71" s="13"/>
      <c r="N71" s="13"/>
      <c r="O71" s="13"/>
      <c r="P71" s="13"/>
      <c r="Q71" s="13"/>
      <c r="R71" s="13"/>
      <c r="S71" s="13"/>
      <c r="T71" s="13"/>
      <c r="U71" s="13"/>
      <c r="V71" s="13"/>
      <c r="W71" s="13"/>
      <c r="X71" s="13"/>
      <c r="Y71" s="13"/>
      <c r="Z71" s="13"/>
    </row>
    <row r="72" ht="15.75" customHeight="1">
      <c r="A72" s="13"/>
      <c r="B72" s="230"/>
      <c r="C72" s="34"/>
      <c r="D72" s="93"/>
      <c r="E72" s="13"/>
      <c r="F72" s="13"/>
      <c r="G72" s="13"/>
      <c r="H72" s="13"/>
      <c r="I72" s="13"/>
      <c r="J72" s="13"/>
      <c r="K72" s="13"/>
      <c r="L72" s="13"/>
      <c r="M72" s="13"/>
      <c r="N72" s="13"/>
      <c r="O72" s="13"/>
      <c r="P72" s="13"/>
      <c r="Q72" s="13"/>
      <c r="R72" s="13"/>
      <c r="S72" s="13"/>
      <c r="T72" s="13"/>
      <c r="U72" s="13"/>
      <c r="V72" s="13"/>
      <c r="W72" s="13"/>
      <c r="X72" s="13"/>
      <c r="Y72" s="13"/>
      <c r="Z72" s="13"/>
    </row>
    <row r="73" ht="15.75" customHeight="1">
      <c r="A73" s="13"/>
      <c r="B73" s="230"/>
      <c r="C73" s="34" t="s">
        <v>231</v>
      </c>
      <c r="D73" s="265">
        <f>F48</f>
        <v>7680</v>
      </c>
      <c r="E73" s="13"/>
      <c r="F73" s="13"/>
      <c r="G73" s="13"/>
      <c r="H73" s="13"/>
      <c r="I73" s="13"/>
      <c r="J73" s="13"/>
      <c r="K73" s="13"/>
      <c r="L73" s="13"/>
      <c r="M73" s="13"/>
      <c r="N73" s="13"/>
      <c r="O73" s="13"/>
      <c r="P73" s="13"/>
      <c r="Q73" s="13"/>
      <c r="R73" s="13"/>
      <c r="S73" s="13"/>
      <c r="T73" s="13"/>
      <c r="U73" s="13"/>
      <c r="V73" s="13"/>
      <c r="W73" s="13"/>
      <c r="X73" s="13"/>
      <c r="Y73" s="13"/>
      <c r="Z73" s="13"/>
    </row>
    <row r="74" ht="15.75" customHeight="1">
      <c r="A74" s="13"/>
      <c r="B74" s="230"/>
      <c r="C74" s="13"/>
      <c r="D74" s="13"/>
      <c r="E74" s="13"/>
      <c r="F74" s="13"/>
      <c r="G74" s="13"/>
      <c r="H74" s="13"/>
      <c r="I74" s="13"/>
      <c r="J74" s="13"/>
      <c r="K74" s="13"/>
      <c r="L74" s="13"/>
      <c r="M74" s="13"/>
      <c r="N74" s="13"/>
      <c r="O74" s="13"/>
      <c r="P74" s="13"/>
      <c r="Q74" s="13"/>
      <c r="R74" s="13"/>
      <c r="S74" s="13"/>
      <c r="T74" s="13"/>
      <c r="U74" s="13"/>
      <c r="V74" s="13"/>
      <c r="W74" s="13"/>
      <c r="X74" s="13"/>
      <c r="Y74" s="13"/>
      <c r="Z74" s="13"/>
    </row>
    <row r="75" ht="15.75" customHeight="1">
      <c r="A75" s="13"/>
      <c r="B75" s="174"/>
      <c r="C75" s="266" t="s">
        <v>257</v>
      </c>
      <c r="D75" s="267">
        <f>D67+D71+D73</f>
        <v>1726409.28</v>
      </c>
      <c r="E75" s="13"/>
      <c r="F75" s="13"/>
      <c r="G75" s="13"/>
      <c r="H75" s="13"/>
      <c r="I75" s="13"/>
      <c r="J75" s="13"/>
      <c r="K75" s="13"/>
      <c r="L75" s="13"/>
      <c r="M75" s="13"/>
      <c r="N75" s="13"/>
      <c r="O75" s="13"/>
      <c r="P75" s="13"/>
      <c r="Q75" s="13"/>
      <c r="R75" s="13"/>
      <c r="S75" s="13"/>
      <c r="T75" s="13"/>
      <c r="U75" s="13"/>
      <c r="V75" s="13"/>
      <c r="W75" s="13"/>
      <c r="X75" s="13"/>
      <c r="Y75" s="13"/>
      <c r="Z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ht="15.75" customHeight="1">
      <c r="A78" s="13"/>
      <c r="B78" s="206" t="s">
        <v>258</v>
      </c>
      <c r="C78" s="37"/>
      <c r="D78" s="37"/>
      <c r="E78" s="37"/>
      <c r="F78" s="37"/>
      <c r="G78" s="37"/>
      <c r="H78" s="37"/>
      <c r="I78" s="13"/>
      <c r="J78" s="13"/>
      <c r="K78" s="13"/>
      <c r="L78" s="13"/>
      <c r="M78" s="13"/>
      <c r="N78" s="13"/>
      <c r="O78" s="13"/>
      <c r="P78" s="13"/>
      <c r="Q78" s="13"/>
      <c r="R78" s="13"/>
      <c r="S78" s="13"/>
      <c r="T78" s="13"/>
      <c r="U78" s="13"/>
      <c r="V78" s="13"/>
      <c r="W78" s="13"/>
      <c r="X78" s="13"/>
      <c r="Y78" s="13"/>
      <c r="Z78" s="13"/>
    </row>
    <row r="79" ht="15.7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ht="15.75" customHeight="1">
      <c r="A80" s="13"/>
      <c r="B80" s="268"/>
      <c r="C80" s="269"/>
      <c r="D80" s="269"/>
      <c r="E80" s="269"/>
      <c r="F80" s="13"/>
      <c r="G80" s="13"/>
      <c r="H80" s="13"/>
      <c r="I80" s="13"/>
      <c r="J80" s="13"/>
      <c r="K80" s="13"/>
      <c r="L80" s="13"/>
      <c r="M80" s="13"/>
      <c r="N80" s="13"/>
      <c r="O80" s="13"/>
      <c r="P80" s="13"/>
      <c r="Q80" s="13"/>
      <c r="R80" s="13"/>
      <c r="S80" s="13"/>
      <c r="T80" s="13"/>
      <c r="U80" s="13"/>
      <c r="V80" s="13"/>
      <c r="W80" s="13"/>
      <c r="X80" s="13"/>
      <c r="Y80" s="13"/>
      <c r="Z80" s="13"/>
    </row>
    <row r="81" ht="15.75" customHeight="1">
      <c r="A81" s="13"/>
      <c r="B81" s="270" t="s">
        <v>259</v>
      </c>
      <c r="C81" s="271" t="s">
        <v>260</v>
      </c>
      <c r="D81" s="271" t="s">
        <v>261</v>
      </c>
      <c r="E81" s="271" t="s">
        <v>262</v>
      </c>
      <c r="F81" s="13"/>
      <c r="G81" s="13"/>
      <c r="H81" s="13"/>
      <c r="I81" s="13"/>
      <c r="J81" s="13"/>
      <c r="K81" s="13"/>
      <c r="L81" s="13"/>
      <c r="M81" s="13"/>
      <c r="N81" s="13"/>
      <c r="O81" s="13"/>
      <c r="P81" s="13"/>
      <c r="Q81" s="13"/>
      <c r="R81" s="13"/>
      <c r="S81" s="13"/>
      <c r="T81" s="13"/>
      <c r="U81" s="13"/>
      <c r="V81" s="13"/>
      <c r="W81" s="13"/>
      <c r="X81" s="13"/>
      <c r="Y81" s="13"/>
      <c r="Z81" s="13"/>
    </row>
    <row r="82" ht="15.75" customHeight="1">
      <c r="A82" s="13"/>
      <c r="B82" s="230" t="s">
        <v>263</v>
      </c>
      <c r="C82" s="272">
        <f>egi_two*'Assumptions (P2)'!D45</f>
        <v>86320.464</v>
      </c>
      <c r="D82" s="273">
        <f>C82/unit_two</f>
        <v>674.378625</v>
      </c>
      <c r="E82" s="274">
        <f>C82/egi_two</f>
        <v>0.05</v>
      </c>
      <c r="F82" s="13"/>
      <c r="G82" s="75"/>
      <c r="H82" s="13"/>
      <c r="I82" s="13"/>
      <c r="J82" s="13"/>
      <c r="K82" s="13"/>
      <c r="L82" s="13"/>
      <c r="M82" s="13"/>
      <c r="N82" s="13"/>
      <c r="O82" s="13"/>
      <c r="P82" s="13"/>
      <c r="Q82" s="13"/>
      <c r="R82" s="13"/>
      <c r="S82" s="13"/>
      <c r="T82" s="13"/>
      <c r="U82" s="13"/>
      <c r="V82" s="13"/>
      <c r="W82" s="13"/>
      <c r="X82" s="13"/>
      <c r="Y82" s="13"/>
      <c r="Z82" s="13"/>
    </row>
    <row r="83" ht="15.75" customHeight="1">
      <c r="A83" s="13"/>
      <c r="B83" s="230" t="s">
        <v>264</v>
      </c>
      <c r="C83" s="218">
        <f>'Assumptions (P2)'!D46</f>
        <v>80000</v>
      </c>
      <c r="D83" s="273">
        <f>C83/unit_two</f>
        <v>625</v>
      </c>
      <c r="E83" s="274">
        <f>C83/egi_two</f>
        <v>0.04633895388</v>
      </c>
      <c r="F83" s="13"/>
      <c r="G83" s="13"/>
      <c r="H83" s="13"/>
      <c r="I83" s="13"/>
      <c r="J83" s="13"/>
      <c r="K83" s="13"/>
      <c r="L83" s="13"/>
      <c r="M83" s="13"/>
      <c r="N83" s="13"/>
      <c r="O83" s="13"/>
      <c r="P83" s="13"/>
      <c r="Q83" s="13"/>
      <c r="R83" s="13"/>
      <c r="S83" s="13"/>
      <c r="T83" s="13"/>
      <c r="U83" s="13"/>
      <c r="V83" s="13"/>
      <c r="W83" s="13"/>
      <c r="X83" s="13"/>
      <c r="Y83" s="13"/>
      <c r="Z83" s="13"/>
    </row>
    <row r="84" ht="15.75" customHeight="1">
      <c r="A84" s="13"/>
      <c r="B84" s="230" t="s">
        <v>265</v>
      </c>
      <c r="C84" s="218">
        <f>'Assumptions (P2)'!D47</f>
        <v>10000</v>
      </c>
      <c r="D84" s="273">
        <f>C84/unit_two</f>
        <v>78.125</v>
      </c>
      <c r="E84" s="274">
        <f>C84/egi_two</f>
        <v>0.005792369235</v>
      </c>
      <c r="F84" s="13"/>
      <c r="G84" s="13"/>
      <c r="H84" s="13"/>
      <c r="I84" s="13"/>
      <c r="J84" s="13"/>
      <c r="K84" s="13"/>
      <c r="L84" s="13"/>
      <c r="M84" s="13"/>
      <c r="N84" s="13"/>
      <c r="O84" s="13"/>
      <c r="P84" s="13"/>
      <c r="Q84" s="13"/>
      <c r="R84" s="13"/>
      <c r="S84" s="13"/>
      <c r="T84" s="13"/>
      <c r="U84" s="13"/>
      <c r="V84" s="13"/>
      <c r="W84" s="13"/>
      <c r="X84" s="13"/>
      <c r="Y84" s="13"/>
      <c r="Z84" s="13"/>
    </row>
    <row r="85" ht="15.75" customHeight="1">
      <c r="A85" s="13"/>
      <c r="B85" s="230" t="s">
        <v>266</v>
      </c>
      <c r="C85" s="218">
        <f>'Assumptions (P2)'!D48</f>
        <v>10000</v>
      </c>
      <c r="D85" s="273">
        <f>C85/unit_two</f>
        <v>78.125</v>
      </c>
      <c r="E85" s="274">
        <f>C85/egi_two</f>
        <v>0.005792369235</v>
      </c>
      <c r="F85" s="13"/>
      <c r="G85" s="13"/>
      <c r="H85" s="13"/>
      <c r="I85" s="13"/>
      <c r="J85" s="13"/>
      <c r="K85" s="13"/>
      <c r="L85" s="13"/>
      <c r="M85" s="13"/>
      <c r="N85" s="13"/>
      <c r="O85" s="13"/>
      <c r="P85" s="13"/>
      <c r="Q85" s="13"/>
      <c r="R85" s="13"/>
      <c r="S85" s="13"/>
      <c r="T85" s="13"/>
      <c r="U85" s="13"/>
      <c r="V85" s="13"/>
      <c r="W85" s="13"/>
      <c r="X85" s="13"/>
      <c r="Y85" s="13"/>
      <c r="Z85" s="13"/>
    </row>
    <row r="86" ht="15.75" customHeight="1">
      <c r="A86" s="13"/>
      <c r="B86" s="230" t="s">
        <v>267</v>
      </c>
      <c r="C86" s="218">
        <f>'Assumptions (P2)'!D49</f>
        <v>5000</v>
      </c>
      <c r="D86" s="273">
        <f>C86/unit_two</f>
        <v>39.0625</v>
      </c>
      <c r="E86" s="274">
        <f>C86/egi_two</f>
        <v>0.002896184617</v>
      </c>
      <c r="F86" s="13"/>
      <c r="G86" s="13"/>
      <c r="H86" s="13"/>
      <c r="I86" s="13"/>
      <c r="J86" s="13"/>
      <c r="K86" s="13"/>
      <c r="L86" s="13"/>
      <c r="M86" s="13"/>
      <c r="N86" s="13"/>
      <c r="O86" s="13"/>
      <c r="P86" s="13"/>
      <c r="Q86" s="13"/>
      <c r="R86" s="13"/>
      <c r="S86" s="13"/>
      <c r="T86" s="13"/>
      <c r="U86" s="13"/>
      <c r="V86" s="13"/>
      <c r="W86" s="13"/>
      <c r="X86" s="13"/>
      <c r="Y86" s="13"/>
      <c r="Z86" s="13"/>
    </row>
    <row r="87" ht="15.75" customHeight="1">
      <c r="A87" s="13"/>
      <c r="B87" s="153" t="s">
        <v>268</v>
      </c>
      <c r="C87" s="221">
        <f>'Assumptions (P2)'!D50*unit_two</f>
        <v>19303.22581</v>
      </c>
      <c r="D87" s="273">
        <f>C87/unit_two</f>
        <v>150.8064516</v>
      </c>
      <c r="E87" s="274">
        <f>C87/egi_two</f>
        <v>0.01118114113</v>
      </c>
      <c r="F87" s="13"/>
      <c r="G87" s="13"/>
      <c r="H87" s="13"/>
      <c r="I87" s="13"/>
      <c r="J87" s="13"/>
      <c r="K87" s="13"/>
      <c r="L87" s="13"/>
      <c r="M87" s="13"/>
      <c r="N87" s="13"/>
      <c r="O87" s="13"/>
      <c r="P87" s="13"/>
      <c r="Q87" s="13"/>
      <c r="R87" s="13"/>
      <c r="S87" s="13"/>
      <c r="T87" s="13"/>
      <c r="U87" s="13"/>
      <c r="V87" s="13"/>
      <c r="W87" s="13"/>
      <c r="X87" s="13"/>
      <c r="Y87" s="13"/>
      <c r="Z87" s="13"/>
    </row>
    <row r="88" ht="15.75" customHeight="1">
      <c r="A88" s="13"/>
      <c r="B88" s="275" t="s">
        <v>269</v>
      </c>
      <c r="C88" s="276">
        <f>SUM(C82:C87)</f>
        <v>210623.6898</v>
      </c>
      <c r="D88" s="276">
        <f>C88/unit_two</f>
        <v>1645.497577</v>
      </c>
      <c r="E88" s="277">
        <f>C88/egi_two</f>
        <v>0.1220010181</v>
      </c>
      <c r="F88" s="13"/>
      <c r="G88" s="13"/>
      <c r="H88" s="13"/>
      <c r="I88" s="13"/>
      <c r="J88" s="13"/>
      <c r="K88" s="13"/>
      <c r="L88" s="13"/>
      <c r="M88" s="13"/>
      <c r="N88" s="13"/>
      <c r="O88" s="13"/>
      <c r="P88" s="13"/>
      <c r="Q88" s="13"/>
      <c r="R88" s="13"/>
      <c r="S88" s="13"/>
      <c r="T88" s="13"/>
      <c r="U88" s="13"/>
      <c r="V88" s="13"/>
      <c r="W88" s="13"/>
      <c r="X88" s="13"/>
      <c r="Y88" s="13"/>
      <c r="Z88" s="13"/>
    </row>
    <row r="89" ht="15.75" customHeight="1">
      <c r="A89" s="13"/>
      <c r="B89" s="278"/>
      <c r="C89" s="279"/>
      <c r="D89" s="279"/>
      <c r="E89" s="280"/>
      <c r="F89" s="13"/>
      <c r="G89" s="13"/>
      <c r="H89" s="13"/>
      <c r="I89" s="13"/>
      <c r="J89" s="13"/>
      <c r="K89" s="13"/>
      <c r="L89" s="13"/>
      <c r="M89" s="13"/>
      <c r="N89" s="13"/>
      <c r="O89" s="13"/>
      <c r="P89" s="13"/>
      <c r="Q89" s="13"/>
      <c r="R89" s="13"/>
      <c r="S89" s="13"/>
      <c r="T89" s="13"/>
      <c r="U89" s="13"/>
      <c r="V89" s="13"/>
      <c r="W89" s="13"/>
      <c r="X89" s="13"/>
      <c r="Y89" s="13"/>
      <c r="Z89" s="13"/>
    </row>
    <row r="90" ht="15.75" customHeight="1">
      <c r="A90" s="13"/>
      <c r="B90" s="270" t="s">
        <v>270</v>
      </c>
      <c r="C90" s="281"/>
      <c r="D90" s="281"/>
      <c r="E90" s="282"/>
      <c r="F90" s="13"/>
      <c r="G90" s="13"/>
      <c r="H90" s="13"/>
      <c r="I90" s="13"/>
      <c r="J90" s="13"/>
      <c r="K90" s="13"/>
      <c r="L90" s="13"/>
      <c r="M90" s="13"/>
      <c r="N90" s="13"/>
      <c r="O90" s="13"/>
      <c r="P90" s="13"/>
      <c r="Q90" s="13"/>
      <c r="R90" s="13"/>
      <c r="S90" s="13"/>
      <c r="T90" s="13"/>
      <c r="U90" s="13"/>
      <c r="V90" s="13"/>
      <c r="W90" s="13"/>
      <c r="X90" s="13"/>
      <c r="Y90" s="13"/>
      <c r="Z90" s="13"/>
    </row>
    <row r="91" ht="15.75" customHeight="1">
      <c r="A91" s="13"/>
      <c r="B91" s="230" t="s">
        <v>271</v>
      </c>
      <c r="C91" s="272">
        <f>unit_two*'Assumptions (P2)'!D53*(1-'Assumptions (P2)'!D54)</f>
        <v>23040</v>
      </c>
      <c r="D91" s="273">
        <f>C91/unit_two</f>
        <v>180</v>
      </c>
      <c r="E91" s="274">
        <f>C91/egi_two</f>
        <v>0.01334561872</v>
      </c>
      <c r="F91" s="13"/>
      <c r="G91" s="13"/>
      <c r="H91" s="13"/>
      <c r="I91" s="13"/>
      <c r="J91" s="13"/>
      <c r="K91" s="13"/>
      <c r="L91" s="13"/>
      <c r="M91" s="13"/>
      <c r="N91" s="13"/>
      <c r="O91" s="13"/>
      <c r="P91" s="13"/>
      <c r="Q91" s="13"/>
      <c r="R91" s="13"/>
      <c r="S91" s="13"/>
      <c r="T91" s="13"/>
      <c r="U91" s="13"/>
      <c r="V91" s="13"/>
      <c r="W91" s="13"/>
      <c r="X91" s="13"/>
      <c r="Y91" s="13"/>
      <c r="Z91" s="13"/>
    </row>
    <row r="92" ht="15.75" customHeight="1">
      <c r="A92" s="13"/>
      <c r="B92" s="230" t="s">
        <v>272</v>
      </c>
      <c r="C92" s="218">
        <f>unit_two*'Assumptions (P2)'!D55*(1-'Assumptions (P2)'!D56)</f>
        <v>10240</v>
      </c>
      <c r="D92" s="273">
        <f>C92/unit_two</f>
        <v>80</v>
      </c>
      <c r="E92" s="274">
        <f>C92/egi_two</f>
        <v>0.005931386096</v>
      </c>
      <c r="F92" s="95"/>
      <c r="G92" s="13"/>
      <c r="H92" s="13"/>
      <c r="I92" s="13"/>
      <c r="J92" s="13"/>
      <c r="K92" s="13"/>
      <c r="L92" s="13"/>
      <c r="M92" s="13"/>
      <c r="N92" s="13"/>
      <c r="O92" s="13"/>
      <c r="P92" s="13"/>
      <c r="Q92" s="13"/>
      <c r="R92" s="13"/>
      <c r="S92" s="13"/>
      <c r="T92" s="13"/>
      <c r="U92" s="13"/>
      <c r="V92" s="13"/>
      <c r="W92" s="13"/>
      <c r="X92" s="13"/>
      <c r="Y92" s="13"/>
      <c r="Z92" s="13"/>
    </row>
    <row r="93" ht="15.75" customHeight="1">
      <c r="A93" s="13"/>
      <c r="B93" s="230" t="s">
        <v>273</v>
      </c>
      <c r="C93" s="221">
        <f>unit_two*'Assumptions (P2)'!D57</f>
        <v>0</v>
      </c>
      <c r="D93" s="273">
        <f>C93/unit_two</f>
        <v>0</v>
      </c>
      <c r="E93" s="274">
        <f>C93/egi_two</f>
        <v>0</v>
      </c>
      <c r="F93" s="13"/>
      <c r="G93" s="13"/>
      <c r="H93" s="13"/>
      <c r="I93" s="13"/>
      <c r="J93" s="13"/>
      <c r="K93" s="13"/>
      <c r="L93" s="13"/>
      <c r="M93" s="13"/>
      <c r="N93" s="13"/>
      <c r="O93" s="13"/>
      <c r="P93" s="13"/>
      <c r="Q93" s="13"/>
      <c r="R93" s="13"/>
      <c r="S93" s="13"/>
      <c r="T93" s="13"/>
      <c r="U93" s="13"/>
      <c r="V93" s="13"/>
      <c r="W93" s="13"/>
      <c r="X93" s="13"/>
      <c r="Y93" s="13"/>
      <c r="Z93" s="13"/>
    </row>
    <row r="94" ht="15.75" customHeight="1">
      <c r="A94" s="13"/>
      <c r="B94" s="283" t="s">
        <v>274</v>
      </c>
      <c r="C94" s="276">
        <f>SUM(C91:C93)</f>
        <v>33280</v>
      </c>
      <c r="D94" s="276">
        <f>C94/unit_two</f>
        <v>260</v>
      </c>
      <c r="E94" s="277">
        <f>C94/egi_two</f>
        <v>0.01927700481</v>
      </c>
      <c r="F94" s="13"/>
      <c r="G94" s="13"/>
      <c r="H94" s="13"/>
      <c r="I94" s="13"/>
      <c r="J94" s="13"/>
      <c r="K94" s="13"/>
      <c r="L94" s="13"/>
      <c r="M94" s="13"/>
      <c r="N94" s="13"/>
      <c r="O94" s="13"/>
      <c r="P94" s="13"/>
      <c r="Q94" s="13"/>
      <c r="R94" s="13"/>
      <c r="S94" s="13"/>
      <c r="T94" s="13"/>
      <c r="U94" s="13"/>
      <c r="V94" s="13"/>
      <c r="W94" s="13"/>
      <c r="X94" s="13"/>
      <c r="Y94" s="13"/>
      <c r="Z94" s="13"/>
    </row>
    <row r="95" ht="15.75" customHeight="1">
      <c r="A95" s="13"/>
      <c r="B95" s="230"/>
      <c r="C95" s="279"/>
      <c r="D95" s="279"/>
      <c r="E95" s="280"/>
      <c r="F95" s="13"/>
      <c r="G95" s="13"/>
      <c r="H95" s="13"/>
      <c r="I95" s="13"/>
      <c r="J95" s="13"/>
      <c r="K95" s="13"/>
      <c r="L95" s="13"/>
      <c r="M95" s="13"/>
      <c r="N95" s="13"/>
      <c r="O95" s="13"/>
      <c r="P95" s="13"/>
      <c r="Q95" s="13"/>
      <c r="R95" s="13"/>
      <c r="S95" s="13"/>
      <c r="T95" s="13"/>
      <c r="U95" s="13"/>
      <c r="V95" s="13"/>
      <c r="W95" s="13"/>
      <c r="X95" s="13"/>
      <c r="Y95" s="13"/>
      <c r="Z95" s="13"/>
    </row>
    <row r="96" ht="15.75" customHeight="1">
      <c r="A96" s="13"/>
      <c r="B96" s="270" t="s">
        <v>275</v>
      </c>
      <c r="C96" s="281"/>
      <c r="D96" s="281"/>
      <c r="E96" s="282"/>
      <c r="F96" s="13"/>
      <c r="G96" s="13"/>
      <c r="H96" s="13"/>
      <c r="I96" s="13"/>
      <c r="J96" s="13"/>
      <c r="K96" s="13"/>
      <c r="L96" s="13"/>
      <c r="M96" s="13"/>
      <c r="N96" s="13"/>
      <c r="O96" s="13"/>
      <c r="P96" s="13"/>
      <c r="Q96" s="13"/>
      <c r="R96" s="13"/>
      <c r="S96" s="13"/>
      <c r="T96" s="13"/>
      <c r="U96" s="13"/>
      <c r="V96" s="13"/>
      <c r="W96" s="13"/>
      <c r="X96" s="13"/>
      <c r="Y96" s="13"/>
      <c r="Z96" s="13"/>
    </row>
    <row r="97" ht="15.75" customHeight="1">
      <c r="A97" s="13"/>
      <c r="B97" s="230" t="s">
        <v>276</v>
      </c>
      <c r="C97" s="272">
        <f>'Assumptions (P2)'!D60</f>
        <v>70000</v>
      </c>
      <c r="D97" s="273">
        <f>C97/unit_two</f>
        <v>546.875</v>
      </c>
      <c r="E97" s="274">
        <f>C97/egi_two</f>
        <v>0.04054658464</v>
      </c>
      <c r="F97" s="13"/>
      <c r="G97" s="13"/>
      <c r="H97" s="13"/>
      <c r="I97" s="13"/>
      <c r="J97" s="13"/>
      <c r="K97" s="13"/>
      <c r="L97" s="13"/>
      <c r="M97" s="13"/>
      <c r="N97" s="13"/>
      <c r="O97" s="13"/>
      <c r="P97" s="13"/>
      <c r="Q97" s="13"/>
      <c r="R97" s="13"/>
      <c r="S97" s="13"/>
      <c r="T97" s="13"/>
      <c r="U97" s="13"/>
      <c r="V97" s="13"/>
      <c r="W97" s="13"/>
      <c r="X97" s="13"/>
      <c r="Y97" s="13"/>
      <c r="Z97" s="13"/>
    </row>
    <row r="98" ht="15.75" customHeight="1">
      <c r="A98" s="13"/>
      <c r="B98" s="230" t="s">
        <v>277</v>
      </c>
      <c r="C98" s="218">
        <f>unit_two*'Assumptions (P2)'!D61</f>
        <v>7680</v>
      </c>
      <c r="D98" s="273">
        <f>C98/unit_two</f>
        <v>60</v>
      </c>
      <c r="E98" s="274">
        <f>C98/egi_two</f>
        <v>0.004448539572</v>
      </c>
      <c r="F98" s="13"/>
      <c r="G98" s="13"/>
      <c r="H98" s="13"/>
      <c r="I98" s="13"/>
      <c r="J98" s="13"/>
      <c r="K98" s="13"/>
      <c r="L98" s="13"/>
      <c r="M98" s="13"/>
      <c r="N98" s="13"/>
      <c r="O98" s="13"/>
      <c r="P98" s="13"/>
      <c r="Q98" s="13"/>
      <c r="R98" s="13"/>
      <c r="S98" s="13"/>
      <c r="T98" s="13"/>
      <c r="U98" s="13"/>
      <c r="V98" s="13"/>
      <c r="W98" s="13"/>
      <c r="X98" s="13"/>
      <c r="Y98" s="13"/>
      <c r="Z98" s="13"/>
    </row>
    <row r="99" ht="15.75" customHeight="1">
      <c r="A99" s="13"/>
      <c r="B99" s="284" t="s">
        <v>278</v>
      </c>
      <c r="C99" s="218">
        <f>unit_two*'Assumptions (P2)'!D62</f>
        <v>3840</v>
      </c>
      <c r="D99" s="273">
        <f>C99/unit_two</f>
        <v>30</v>
      </c>
      <c r="E99" s="274">
        <f>C99/egi_two</f>
        <v>0.002224269786</v>
      </c>
      <c r="F99" s="13"/>
      <c r="G99" s="13"/>
      <c r="H99" s="13"/>
      <c r="I99" s="13"/>
      <c r="J99" s="13"/>
      <c r="K99" s="13"/>
      <c r="L99" s="13"/>
      <c r="M99" s="13"/>
      <c r="N99" s="13"/>
      <c r="O99" s="13"/>
      <c r="P99" s="13"/>
      <c r="Q99" s="13"/>
      <c r="R99" s="13"/>
      <c r="S99" s="13"/>
      <c r="T99" s="13"/>
      <c r="U99" s="13"/>
      <c r="V99" s="13"/>
      <c r="W99" s="13"/>
      <c r="X99" s="13"/>
      <c r="Y99" s="13"/>
      <c r="Z99" s="13"/>
    </row>
    <row r="100" ht="15.75" customHeight="1">
      <c r="A100" s="13"/>
      <c r="B100" s="230" t="s">
        <v>279</v>
      </c>
      <c r="C100" s="218">
        <f>unit_two*'Assumptions (P2)'!D63</f>
        <v>38400</v>
      </c>
      <c r="D100" s="273">
        <f>C100/unit_two</f>
        <v>300</v>
      </c>
      <c r="E100" s="274">
        <f>C100/egi_two</f>
        <v>0.02224269786</v>
      </c>
      <c r="F100" s="13"/>
      <c r="G100" s="13"/>
      <c r="H100" s="13"/>
      <c r="I100" s="13"/>
      <c r="J100" s="13"/>
      <c r="K100" s="13"/>
      <c r="L100" s="13"/>
      <c r="M100" s="13"/>
      <c r="N100" s="13"/>
      <c r="O100" s="13"/>
      <c r="P100" s="13"/>
      <c r="Q100" s="13"/>
      <c r="R100" s="13"/>
      <c r="S100" s="13"/>
      <c r="T100" s="13"/>
      <c r="U100" s="13"/>
      <c r="V100" s="13"/>
      <c r="W100" s="13"/>
      <c r="X100" s="13"/>
      <c r="Y100" s="13"/>
      <c r="Z100" s="13"/>
    </row>
    <row r="101" ht="15.75" customHeight="1">
      <c r="A101" s="13"/>
      <c r="B101" s="230" t="s">
        <v>280</v>
      </c>
      <c r="C101" s="218">
        <f>unit_two*'Assumptions (P2)'!D64</f>
        <v>3840</v>
      </c>
      <c r="D101" s="273">
        <f>C101/unit_two</f>
        <v>30</v>
      </c>
      <c r="E101" s="274">
        <f>C101/egi_two</f>
        <v>0.002224269786</v>
      </c>
      <c r="F101" s="13"/>
      <c r="G101" s="13"/>
      <c r="H101" s="13"/>
      <c r="I101" s="13"/>
      <c r="J101" s="13"/>
      <c r="K101" s="13"/>
      <c r="L101" s="13"/>
      <c r="M101" s="13"/>
      <c r="N101" s="13"/>
      <c r="O101" s="13"/>
      <c r="P101" s="13"/>
      <c r="Q101" s="13"/>
      <c r="R101" s="13"/>
      <c r="S101" s="13"/>
      <c r="T101" s="13"/>
      <c r="U101" s="13"/>
      <c r="V101" s="13"/>
      <c r="W101" s="13"/>
      <c r="X101" s="13"/>
      <c r="Y101" s="13"/>
      <c r="Z101" s="13"/>
    </row>
    <row r="102" ht="15.75" customHeight="1">
      <c r="A102" s="13"/>
      <c r="B102" s="230" t="s">
        <v>281</v>
      </c>
      <c r="C102" s="218">
        <f>unit_two*'Assumptions (P2)'!D65</f>
        <v>7680</v>
      </c>
      <c r="D102" s="273">
        <f>C102/unit_two</f>
        <v>60</v>
      </c>
      <c r="E102" s="274">
        <f>C102/egi_two</f>
        <v>0.004448539572</v>
      </c>
      <c r="F102" s="13"/>
      <c r="G102" s="13"/>
      <c r="H102" s="13"/>
      <c r="I102" s="13"/>
      <c r="J102" s="13"/>
      <c r="K102" s="13"/>
      <c r="L102" s="13"/>
      <c r="M102" s="13"/>
      <c r="N102" s="13"/>
      <c r="O102" s="13"/>
      <c r="P102" s="13"/>
      <c r="Q102" s="13"/>
      <c r="R102" s="13"/>
      <c r="S102" s="13"/>
      <c r="T102" s="13"/>
      <c r="U102" s="13"/>
      <c r="V102" s="13"/>
      <c r="W102" s="13"/>
      <c r="X102" s="13"/>
      <c r="Y102" s="13"/>
      <c r="Z102" s="13"/>
    </row>
    <row r="103" ht="15.75" customHeight="1">
      <c r="A103" s="13"/>
      <c r="B103" s="230" t="s">
        <v>282</v>
      </c>
      <c r="C103" s="218">
        <f>unit_two*'Assumptions (P2)'!D66</f>
        <v>7680</v>
      </c>
      <c r="D103" s="273">
        <f>C103/unit_two</f>
        <v>60</v>
      </c>
      <c r="E103" s="274">
        <f>C103/egi_two</f>
        <v>0.004448539572</v>
      </c>
      <c r="F103" s="13"/>
      <c r="G103" s="13"/>
      <c r="H103" s="13"/>
      <c r="I103" s="13"/>
      <c r="J103" s="13"/>
      <c r="K103" s="13"/>
      <c r="L103" s="13"/>
      <c r="M103" s="13"/>
      <c r="N103" s="13"/>
      <c r="O103" s="13"/>
      <c r="P103" s="13"/>
      <c r="Q103" s="13"/>
      <c r="R103" s="13"/>
      <c r="S103" s="13"/>
      <c r="T103" s="13"/>
      <c r="U103" s="13"/>
      <c r="V103" s="13"/>
      <c r="W103" s="13"/>
      <c r="X103" s="13"/>
      <c r="Y103" s="13"/>
      <c r="Z103" s="13"/>
    </row>
    <row r="104" ht="15.75" customHeight="1">
      <c r="A104" s="13"/>
      <c r="B104" s="230" t="s">
        <v>283</v>
      </c>
      <c r="C104" s="218">
        <f>unit_two*'Assumptions (P2)'!D67</f>
        <v>3840</v>
      </c>
      <c r="D104" s="273">
        <f>C104/unit_two</f>
        <v>30</v>
      </c>
      <c r="E104" s="274">
        <f>C104/egi_two</f>
        <v>0.002224269786</v>
      </c>
      <c r="F104" s="95"/>
      <c r="G104" s="13"/>
      <c r="H104" s="13"/>
      <c r="I104" s="13"/>
      <c r="J104" s="13"/>
      <c r="K104" s="13"/>
      <c r="L104" s="13"/>
      <c r="M104" s="13"/>
      <c r="N104" s="13"/>
      <c r="O104" s="13"/>
      <c r="P104" s="13"/>
      <c r="Q104" s="13"/>
      <c r="R104" s="13"/>
      <c r="S104" s="13"/>
      <c r="T104" s="13"/>
      <c r="U104" s="13"/>
      <c r="V104" s="13"/>
      <c r="W104" s="13"/>
      <c r="X104" s="13"/>
      <c r="Y104" s="13"/>
      <c r="Z104" s="13"/>
    </row>
    <row r="105" ht="15.75" customHeight="1">
      <c r="A105" s="13"/>
      <c r="B105" s="153" t="s">
        <v>284</v>
      </c>
      <c r="C105" s="221">
        <f>unit_two*'Assumptions (P2)'!D68</f>
        <v>3200</v>
      </c>
      <c r="D105" s="273">
        <f>C105/unit_two</f>
        <v>25</v>
      </c>
      <c r="E105" s="274">
        <f>C105/egi_two</f>
        <v>0.001853558155</v>
      </c>
      <c r="F105" s="13"/>
      <c r="G105" s="13"/>
      <c r="H105" s="13"/>
      <c r="I105" s="13"/>
      <c r="J105" s="13"/>
      <c r="K105" s="13"/>
      <c r="L105" s="13"/>
      <c r="M105" s="13"/>
      <c r="N105" s="13"/>
      <c r="O105" s="13"/>
      <c r="P105" s="13"/>
      <c r="Q105" s="13"/>
      <c r="R105" s="13"/>
      <c r="S105" s="13"/>
      <c r="T105" s="13"/>
      <c r="U105" s="13"/>
      <c r="V105" s="13"/>
      <c r="W105" s="13"/>
      <c r="X105" s="13"/>
      <c r="Y105" s="13"/>
      <c r="Z105" s="13"/>
    </row>
    <row r="106" ht="15.75" customHeight="1">
      <c r="A106" s="13"/>
      <c r="B106" s="275" t="s">
        <v>285</v>
      </c>
      <c r="C106" s="276">
        <f>SUM(C97:C105)</f>
        <v>146160</v>
      </c>
      <c r="D106" s="276">
        <f>C106/unit_two</f>
        <v>1141.875</v>
      </c>
      <c r="E106" s="277">
        <f>C106/egi_two</f>
        <v>0.08466126873</v>
      </c>
      <c r="F106" s="13"/>
      <c r="G106" s="13"/>
      <c r="H106" s="13"/>
      <c r="I106" s="13"/>
      <c r="J106" s="13"/>
      <c r="K106" s="13"/>
      <c r="L106" s="13"/>
      <c r="M106" s="13"/>
      <c r="N106" s="13"/>
      <c r="O106" s="13"/>
      <c r="P106" s="13"/>
      <c r="Q106" s="13"/>
      <c r="R106" s="13"/>
      <c r="S106" s="13"/>
      <c r="T106" s="13"/>
      <c r="U106" s="13"/>
      <c r="V106" s="13"/>
      <c r="W106" s="13"/>
      <c r="X106" s="13"/>
      <c r="Y106" s="13"/>
      <c r="Z106" s="13"/>
    </row>
    <row r="107" ht="15.75" customHeight="1">
      <c r="A107" s="13"/>
      <c r="B107" s="230"/>
      <c r="C107" s="279"/>
      <c r="D107" s="279"/>
      <c r="E107" s="280"/>
      <c r="F107" s="13"/>
      <c r="G107" s="13"/>
      <c r="H107" s="13"/>
      <c r="I107" s="13"/>
      <c r="J107" s="13"/>
      <c r="K107" s="13"/>
      <c r="L107" s="13"/>
      <c r="M107" s="13"/>
      <c r="N107" s="13"/>
      <c r="O107" s="13"/>
      <c r="P107" s="13"/>
      <c r="Q107" s="13"/>
      <c r="R107" s="13"/>
      <c r="S107" s="13"/>
      <c r="T107" s="13"/>
      <c r="U107" s="13"/>
      <c r="V107" s="13"/>
      <c r="W107" s="13"/>
      <c r="X107" s="13"/>
      <c r="Y107" s="13"/>
      <c r="Z107" s="13"/>
    </row>
    <row r="108" ht="15.75" customHeight="1">
      <c r="A108" s="13"/>
      <c r="B108" s="270" t="s">
        <v>286</v>
      </c>
      <c r="C108" s="281"/>
      <c r="D108" s="281"/>
      <c r="E108" s="282"/>
      <c r="F108" s="13"/>
      <c r="G108" s="13"/>
      <c r="H108" s="13"/>
      <c r="I108" s="13"/>
      <c r="J108" s="13"/>
      <c r="K108" s="13"/>
      <c r="L108" s="13"/>
      <c r="M108" s="13"/>
      <c r="N108" s="13"/>
      <c r="O108" s="13"/>
      <c r="P108" s="13"/>
      <c r="Q108" s="13"/>
      <c r="R108" s="13"/>
      <c r="S108" s="13"/>
      <c r="T108" s="13"/>
      <c r="U108" s="13"/>
      <c r="V108" s="13"/>
      <c r="W108" s="13"/>
      <c r="X108" s="13"/>
      <c r="Y108" s="13"/>
      <c r="Z108" s="13"/>
    </row>
    <row r="109" ht="15.75" customHeight="1">
      <c r="A109" s="13"/>
      <c r="B109" s="230" t="s">
        <v>287</v>
      </c>
      <c r="C109" s="272">
        <f>'Assumptions (P2)'!D76</f>
        <v>120412</v>
      </c>
      <c r="D109" s="273">
        <f>C109/unit_two</f>
        <v>940.71875</v>
      </c>
      <c r="E109" s="274">
        <f>C109/egi_two</f>
        <v>0.06974707643</v>
      </c>
      <c r="F109" s="95"/>
      <c r="G109" s="13"/>
      <c r="H109" s="13"/>
      <c r="I109" s="13"/>
      <c r="J109" s="13"/>
      <c r="K109" s="13"/>
      <c r="L109" s="13"/>
      <c r="M109" s="13"/>
      <c r="N109" s="13"/>
      <c r="O109" s="13"/>
      <c r="P109" s="13"/>
      <c r="Q109" s="13"/>
      <c r="R109" s="13"/>
      <c r="S109" s="13"/>
      <c r="T109" s="13"/>
      <c r="U109" s="13"/>
      <c r="V109" s="13"/>
      <c r="W109" s="13"/>
      <c r="X109" s="13"/>
      <c r="Y109" s="13"/>
      <c r="Z109" s="13"/>
    </row>
    <row r="110" ht="15.75" customHeight="1">
      <c r="A110" s="13"/>
      <c r="B110" s="153" t="s">
        <v>56</v>
      </c>
      <c r="C110" s="272">
        <f>'Assumptions (P2)'!D77</f>
        <v>0</v>
      </c>
      <c r="D110" s="273">
        <f>C110/unit_two</f>
        <v>0</v>
      </c>
      <c r="E110" s="274">
        <f>C110/egi_two</f>
        <v>0</v>
      </c>
      <c r="F110" s="13"/>
      <c r="G110" s="13"/>
      <c r="H110" s="13"/>
      <c r="I110" s="13"/>
      <c r="J110" s="13"/>
      <c r="K110" s="13"/>
      <c r="L110" s="13"/>
      <c r="M110" s="13"/>
      <c r="N110" s="13"/>
      <c r="O110" s="13"/>
      <c r="P110" s="13"/>
      <c r="Q110" s="13"/>
      <c r="R110" s="13"/>
      <c r="S110" s="13"/>
      <c r="T110" s="13"/>
      <c r="U110" s="13"/>
      <c r="V110" s="13"/>
      <c r="W110" s="13"/>
      <c r="X110" s="13"/>
      <c r="Y110" s="13"/>
      <c r="Z110" s="13"/>
    </row>
    <row r="111" ht="15.75" customHeight="1">
      <c r="A111" s="13"/>
      <c r="B111" s="275" t="s">
        <v>288</v>
      </c>
      <c r="C111" s="276">
        <f>SUM(C109:C110)</f>
        <v>120412</v>
      </c>
      <c r="D111" s="276">
        <f>C111/unit_two</f>
        <v>940.71875</v>
      </c>
      <c r="E111" s="277">
        <f>C111/egi_two</f>
        <v>0.06974707643</v>
      </c>
      <c r="F111" s="13"/>
      <c r="G111" s="13"/>
      <c r="H111" s="13"/>
      <c r="I111" s="13"/>
      <c r="J111" s="13"/>
      <c r="K111" s="13"/>
      <c r="L111" s="13"/>
      <c r="M111" s="13"/>
      <c r="N111" s="13"/>
      <c r="O111" s="13"/>
      <c r="P111" s="13"/>
      <c r="Q111" s="13"/>
      <c r="R111" s="13"/>
      <c r="S111" s="13"/>
      <c r="T111" s="13"/>
      <c r="U111" s="13"/>
      <c r="V111" s="13"/>
      <c r="W111" s="13"/>
      <c r="X111" s="13"/>
      <c r="Y111" s="13"/>
      <c r="Z111" s="13"/>
    </row>
    <row r="112" ht="15.75" customHeight="1">
      <c r="A112" s="13"/>
      <c r="B112" s="278"/>
      <c r="C112" s="279"/>
      <c r="D112" s="279"/>
      <c r="E112" s="280"/>
      <c r="F112" s="13"/>
      <c r="G112" s="13"/>
      <c r="H112" s="13"/>
      <c r="I112" s="13"/>
      <c r="J112" s="13"/>
      <c r="K112" s="13"/>
      <c r="L112" s="13"/>
      <c r="M112" s="13"/>
      <c r="N112" s="13"/>
      <c r="O112" s="13"/>
      <c r="P112" s="13"/>
      <c r="Q112" s="13"/>
      <c r="R112" s="13"/>
      <c r="S112" s="13"/>
      <c r="T112" s="13"/>
      <c r="U112" s="13"/>
      <c r="V112" s="13"/>
      <c r="W112" s="13"/>
      <c r="X112" s="13"/>
      <c r="Y112" s="13"/>
      <c r="Z112" s="13"/>
    </row>
    <row r="113" ht="15.75" customHeight="1">
      <c r="A113" s="13"/>
      <c r="B113" s="270" t="s">
        <v>289</v>
      </c>
      <c r="C113" s="281"/>
      <c r="D113" s="281"/>
      <c r="E113" s="282"/>
      <c r="F113" s="13"/>
      <c r="G113" s="13"/>
      <c r="H113" s="13"/>
      <c r="I113" s="13"/>
      <c r="J113" s="13"/>
      <c r="K113" s="13"/>
      <c r="L113" s="13"/>
      <c r="M113" s="13"/>
      <c r="N113" s="13"/>
      <c r="O113" s="13"/>
      <c r="P113" s="13"/>
      <c r="Q113" s="13"/>
      <c r="R113" s="13"/>
      <c r="S113" s="13"/>
      <c r="T113" s="13"/>
      <c r="U113" s="13"/>
      <c r="V113" s="13"/>
      <c r="W113" s="13"/>
      <c r="X113" s="13"/>
      <c r="Y113" s="13"/>
      <c r="Z113" s="13"/>
    </row>
    <row r="114" ht="15.75" customHeight="1">
      <c r="A114" s="13"/>
      <c r="B114" s="230" t="s">
        <v>290</v>
      </c>
      <c r="C114" s="272">
        <f>unit_two*'Assumptions (P2)'!D80</f>
        <v>25210.91811</v>
      </c>
      <c r="D114" s="273">
        <f>C114/unit_two</f>
        <v>196.9602978</v>
      </c>
      <c r="E114" s="274">
        <f>C114/egi_two</f>
        <v>0.01460309465</v>
      </c>
      <c r="F114" s="13"/>
      <c r="G114" s="13"/>
      <c r="H114" s="13"/>
      <c r="I114" s="13"/>
      <c r="J114" s="13"/>
      <c r="K114" s="13"/>
      <c r="L114" s="13"/>
      <c r="M114" s="13"/>
      <c r="N114" s="13"/>
      <c r="O114" s="13"/>
      <c r="P114" s="13"/>
      <c r="Q114" s="13"/>
      <c r="R114" s="13"/>
      <c r="S114" s="13"/>
      <c r="T114" s="13"/>
      <c r="U114" s="13"/>
      <c r="V114" s="13"/>
      <c r="W114" s="13"/>
      <c r="X114" s="13"/>
      <c r="Y114" s="13"/>
      <c r="Z114" s="13"/>
    </row>
    <row r="115" ht="15.75" customHeight="1">
      <c r="A115" s="13"/>
      <c r="B115" s="153" t="s">
        <v>291</v>
      </c>
      <c r="C115" s="221">
        <f>'Assumptions (P2)'!D81*unit_two</f>
        <v>3840</v>
      </c>
      <c r="D115" s="273">
        <f>C115/unit_two</f>
        <v>30</v>
      </c>
      <c r="E115" s="274">
        <f>C115/egi_two</f>
        <v>0.002224269786</v>
      </c>
      <c r="F115" s="13"/>
      <c r="G115" s="13"/>
      <c r="H115" s="13"/>
      <c r="I115" s="13"/>
      <c r="J115" s="13"/>
      <c r="K115" s="13"/>
      <c r="L115" s="13"/>
      <c r="M115" s="13"/>
      <c r="N115" s="13"/>
      <c r="O115" s="13"/>
      <c r="P115" s="13"/>
      <c r="Q115" s="13"/>
      <c r="R115" s="13"/>
      <c r="S115" s="13"/>
      <c r="T115" s="13"/>
      <c r="U115" s="13"/>
      <c r="V115" s="13"/>
      <c r="W115" s="13"/>
      <c r="X115" s="13"/>
      <c r="Y115" s="13"/>
      <c r="Z115" s="13"/>
    </row>
    <row r="116" ht="15.75" customHeight="1">
      <c r="A116" s="13"/>
      <c r="B116" s="275" t="s">
        <v>292</v>
      </c>
      <c r="C116" s="276">
        <f>SUM(C114:C115)</f>
        <v>29050.91811</v>
      </c>
      <c r="D116" s="276">
        <f>C116/unit_two</f>
        <v>226.9602978</v>
      </c>
      <c r="E116" s="277">
        <f>C116/egi_two</f>
        <v>0.01682736443</v>
      </c>
      <c r="F116" s="13"/>
      <c r="G116" s="13"/>
      <c r="H116" s="13"/>
      <c r="I116" s="13"/>
      <c r="J116" s="13"/>
      <c r="K116" s="13"/>
      <c r="L116" s="13"/>
      <c r="M116" s="13"/>
      <c r="N116" s="13"/>
      <c r="O116" s="13"/>
      <c r="P116" s="13"/>
      <c r="Q116" s="13"/>
      <c r="R116" s="13"/>
      <c r="S116" s="13"/>
      <c r="T116" s="13"/>
      <c r="U116" s="13"/>
      <c r="V116" s="13"/>
      <c r="W116" s="13"/>
      <c r="X116" s="13"/>
      <c r="Y116" s="13"/>
      <c r="Z116" s="13"/>
    </row>
    <row r="117" ht="15.75" customHeight="1">
      <c r="A117" s="13"/>
      <c r="B117" s="230"/>
      <c r="C117" s="279"/>
      <c r="D117" s="279"/>
      <c r="E117" s="280"/>
      <c r="F117" s="13"/>
      <c r="G117" s="13"/>
      <c r="H117" s="13"/>
      <c r="I117" s="13"/>
      <c r="J117" s="13"/>
      <c r="K117" s="13"/>
      <c r="L117" s="13"/>
      <c r="M117" s="13"/>
      <c r="N117" s="13"/>
      <c r="O117" s="13"/>
      <c r="P117" s="13"/>
      <c r="Q117" s="13"/>
      <c r="R117" s="13"/>
      <c r="S117" s="13"/>
      <c r="T117" s="13"/>
      <c r="U117" s="13"/>
      <c r="V117" s="13"/>
      <c r="W117" s="13"/>
      <c r="X117" s="13"/>
      <c r="Y117" s="13"/>
      <c r="Z117" s="13"/>
    </row>
    <row r="118" ht="15.75" customHeight="1">
      <c r="A118" s="13"/>
      <c r="B118" s="270" t="s">
        <v>293</v>
      </c>
      <c r="C118" s="281"/>
      <c r="D118" s="281"/>
      <c r="E118" s="282"/>
      <c r="F118" s="13"/>
      <c r="G118" s="13"/>
      <c r="H118" s="13"/>
      <c r="I118" s="13"/>
      <c r="J118" s="13"/>
      <c r="K118" s="13"/>
      <c r="L118" s="13"/>
      <c r="M118" s="13"/>
      <c r="N118" s="13"/>
      <c r="O118" s="13"/>
      <c r="P118" s="13"/>
      <c r="Q118" s="13"/>
      <c r="R118" s="13"/>
      <c r="S118" s="13"/>
      <c r="T118" s="13"/>
      <c r="U118" s="13"/>
      <c r="V118" s="13"/>
      <c r="W118" s="13"/>
      <c r="X118" s="13"/>
      <c r="Y118" s="13"/>
      <c r="Z118" s="13"/>
    </row>
    <row r="119" ht="15.75" customHeight="1">
      <c r="A119" s="13"/>
      <c r="B119" s="230" t="s">
        <v>293</v>
      </c>
      <c r="C119" s="272">
        <f>'Assumptions (P2)'!D84</f>
        <v>10000</v>
      </c>
      <c r="D119" s="273">
        <f>C119/unit_two</f>
        <v>78.125</v>
      </c>
      <c r="E119" s="274">
        <f>C119/egi_two</f>
        <v>0.005792369235</v>
      </c>
      <c r="F119" s="95"/>
      <c r="G119" s="13"/>
      <c r="H119" s="13"/>
      <c r="I119" s="13"/>
      <c r="J119" s="13"/>
      <c r="K119" s="13"/>
      <c r="L119" s="13"/>
      <c r="M119" s="13"/>
      <c r="N119" s="13"/>
      <c r="O119" s="13"/>
      <c r="P119" s="13"/>
      <c r="Q119" s="13"/>
      <c r="R119" s="13"/>
      <c r="S119" s="13"/>
      <c r="T119" s="13"/>
      <c r="U119" s="13"/>
      <c r="V119" s="13"/>
      <c r="W119" s="13"/>
      <c r="X119" s="13"/>
      <c r="Y119" s="13"/>
      <c r="Z119" s="13"/>
    </row>
    <row r="120" ht="15.75" customHeight="1">
      <c r="A120" s="13"/>
      <c r="B120" s="153" t="s">
        <v>295</v>
      </c>
      <c r="C120" s="272">
        <f>'Assumptions (P2)'!D85</f>
        <v>1000</v>
      </c>
      <c r="D120" s="273">
        <f>C120/unit_two</f>
        <v>7.8125</v>
      </c>
      <c r="E120" s="274">
        <f>C120/egi_two</f>
        <v>0.0005792369235</v>
      </c>
      <c r="F120" s="13"/>
      <c r="G120" s="13"/>
      <c r="H120" s="13"/>
      <c r="I120" s="13"/>
      <c r="J120" s="13"/>
      <c r="K120" s="13"/>
      <c r="L120" s="13"/>
      <c r="M120" s="13"/>
      <c r="N120" s="13"/>
      <c r="O120" s="13"/>
      <c r="P120" s="13"/>
      <c r="Q120" s="13"/>
      <c r="R120" s="13"/>
      <c r="S120" s="13"/>
      <c r="T120" s="13"/>
      <c r="U120" s="13"/>
      <c r="V120" s="13"/>
      <c r="W120" s="13"/>
      <c r="X120" s="13"/>
      <c r="Y120" s="13"/>
      <c r="Z120" s="13"/>
    </row>
    <row r="121" ht="15.75" customHeight="1">
      <c r="A121" s="13"/>
      <c r="B121" s="275" t="s">
        <v>296</v>
      </c>
      <c r="C121" s="276">
        <f>SUM(C119:C120)</f>
        <v>11000</v>
      </c>
      <c r="D121" s="276">
        <f>C121/unit_two</f>
        <v>85.9375</v>
      </c>
      <c r="E121" s="277">
        <f>C121/egi_two</f>
        <v>0.006371606158</v>
      </c>
      <c r="F121" s="13"/>
      <c r="G121" s="13"/>
      <c r="H121" s="13"/>
      <c r="I121" s="13"/>
      <c r="J121" s="13"/>
      <c r="K121" s="13"/>
      <c r="L121" s="13"/>
      <c r="M121" s="13"/>
      <c r="N121" s="13"/>
      <c r="O121" s="13"/>
      <c r="P121" s="13"/>
      <c r="Q121" s="13"/>
      <c r="R121" s="13"/>
      <c r="S121" s="13"/>
      <c r="T121" s="13"/>
      <c r="U121" s="13"/>
      <c r="V121" s="13"/>
      <c r="W121" s="13"/>
      <c r="X121" s="13"/>
      <c r="Y121" s="13"/>
      <c r="Z121" s="13"/>
    </row>
    <row r="122" ht="15.75" customHeight="1">
      <c r="A122" s="13"/>
      <c r="B122" s="285"/>
      <c r="C122" s="286" t="s">
        <v>297</v>
      </c>
      <c r="D122" s="287" t="s">
        <v>297</v>
      </c>
      <c r="E122" s="288"/>
      <c r="F122" s="13"/>
      <c r="G122" s="13"/>
      <c r="H122" s="13"/>
      <c r="I122" s="13"/>
      <c r="J122" s="13"/>
      <c r="K122" s="13"/>
      <c r="L122" s="13"/>
      <c r="M122" s="13"/>
      <c r="N122" s="13"/>
      <c r="O122" s="13"/>
      <c r="P122" s="13"/>
      <c r="Q122" s="13"/>
      <c r="R122" s="13"/>
      <c r="S122" s="13"/>
      <c r="T122" s="13"/>
      <c r="U122" s="13"/>
      <c r="V122" s="13"/>
      <c r="W122" s="13"/>
      <c r="X122" s="13"/>
      <c r="Y122" s="13"/>
      <c r="Z122" s="13"/>
    </row>
    <row r="123" ht="15.75" customHeight="1">
      <c r="A123" s="13"/>
      <c r="B123" s="289" t="s">
        <v>298</v>
      </c>
      <c r="C123" s="290">
        <f>SUM(C88+C94+C106+C111+C116+C121)</f>
        <v>550526.6079</v>
      </c>
      <c r="D123" s="291">
        <f>C123/unit_two</f>
        <v>4300.989124</v>
      </c>
      <c r="E123" s="292">
        <f>C123/egi_two</f>
        <v>0.3188853387</v>
      </c>
      <c r="F123" s="95"/>
      <c r="G123" s="13"/>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230"/>
      <c r="C124" s="279"/>
      <c r="D124" s="293"/>
      <c r="E124" s="294"/>
      <c r="F124" s="13"/>
      <c r="G124" s="13"/>
      <c r="H124" s="13"/>
      <c r="I124" s="13"/>
      <c r="J124" s="13"/>
      <c r="K124" s="13"/>
      <c r="L124" s="13"/>
      <c r="M124" s="13"/>
      <c r="N124" s="13"/>
      <c r="O124" s="13"/>
      <c r="P124" s="13"/>
      <c r="Q124" s="13"/>
      <c r="R124" s="13"/>
      <c r="S124" s="13"/>
      <c r="T124" s="13"/>
      <c r="U124" s="13"/>
      <c r="V124" s="13"/>
      <c r="W124" s="13"/>
      <c r="X124" s="13"/>
      <c r="Y124" s="13"/>
      <c r="Z124" s="13"/>
    </row>
    <row r="125" ht="15.75" customHeight="1">
      <c r="A125" s="13"/>
      <c r="B125" s="295" t="s">
        <v>141</v>
      </c>
      <c r="C125" s="296">
        <f>unit_two*'Assumptions (P2)'!D88</f>
        <v>38400</v>
      </c>
      <c r="D125" s="297">
        <f>C125/unit_two</f>
        <v>300</v>
      </c>
      <c r="E125" s="277">
        <f>C125/egi_two</f>
        <v>0.02224269786</v>
      </c>
      <c r="F125" s="13"/>
      <c r="G125" s="13"/>
      <c r="H125" s="13"/>
      <c r="I125" s="13"/>
      <c r="J125" s="13"/>
      <c r="K125" s="13"/>
      <c r="L125" s="13"/>
      <c r="M125" s="13"/>
      <c r="N125" s="13"/>
      <c r="O125" s="13"/>
      <c r="P125" s="13"/>
      <c r="Q125" s="13"/>
      <c r="R125" s="13"/>
      <c r="S125" s="13"/>
      <c r="T125" s="13"/>
      <c r="U125" s="13"/>
      <c r="V125" s="13"/>
      <c r="W125" s="13"/>
      <c r="X125" s="13"/>
      <c r="Y125" s="13"/>
      <c r="Z125" s="13"/>
    </row>
    <row r="126" ht="15.75" customHeight="1">
      <c r="A126" s="13"/>
      <c r="B126" s="298"/>
      <c r="C126" s="299"/>
      <c r="D126" s="300"/>
      <c r="E126" s="301"/>
      <c r="F126" s="13"/>
      <c r="G126" s="13"/>
      <c r="H126" s="13"/>
      <c r="I126" s="13"/>
      <c r="J126" s="13"/>
      <c r="K126" s="13"/>
      <c r="L126" s="13"/>
      <c r="M126" s="13"/>
      <c r="N126" s="13"/>
      <c r="O126" s="13"/>
      <c r="P126" s="13"/>
      <c r="Q126" s="13"/>
      <c r="R126" s="13"/>
      <c r="S126" s="13"/>
      <c r="T126" s="13"/>
      <c r="U126" s="13"/>
      <c r="V126" s="13"/>
      <c r="W126" s="13"/>
      <c r="X126" s="13"/>
      <c r="Y126" s="13"/>
      <c r="Z126" s="13"/>
    </row>
    <row r="127" ht="30.75" customHeight="1">
      <c r="A127" s="13"/>
      <c r="B127" s="302" t="s">
        <v>299</v>
      </c>
      <c r="C127" s="303">
        <f>C123+C125</f>
        <v>588926.6079</v>
      </c>
      <c r="D127" s="304">
        <f>totalopex_two/unit_two</f>
        <v>4600.989124</v>
      </c>
      <c r="E127" s="305">
        <f>C127/egi_two</f>
        <v>0.3411280365</v>
      </c>
      <c r="F127" s="13"/>
      <c r="G127" s="13"/>
      <c r="H127" s="13"/>
      <c r="I127" s="13"/>
      <c r="J127" s="13"/>
      <c r="K127" s="13"/>
      <c r="L127" s="13"/>
      <c r="M127" s="13"/>
      <c r="N127" s="13"/>
      <c r="O127" s="13"/>
      <c r="P127" s="13"/>
      <c r="Q127" s="13"/>
      <c r="R127" s="13"/>
      <c r="S127" s="13"/>
      <c r="T127" s="13"/>
      <c r="U127" s="13"/>
      <c r="V127" s="13"/>
      <c r="W127" s="13"/>
      <c r="X127" s="13"/>
      <c r="Y127" s="13"/>
      <c r="Z127" s="13"/>
    </row>
    <row r="128"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5.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5.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5.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5.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5.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5.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5.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5.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5.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5.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5.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5.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5.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5.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5.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5.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5.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5.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5.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5.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5.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5.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5.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5.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5.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5.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5.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5.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5.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5.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5.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5.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5.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5.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5.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5.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5.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5.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5.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5.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5.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5.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5.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5.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5.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5.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5.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5.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5.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5.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5.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5.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5.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5.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5.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5.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5.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5.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5.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5.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5.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5.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5.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5.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5.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5.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5.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5.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5.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5.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5.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5.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5.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5.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5.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5.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5.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5.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5.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5.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5.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5.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5.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5.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5.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5.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5.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5.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2:H2"/>
    <mergeCell ref="B8:H8"/>
    <mergeCell ref="B78:H78"/>
  </mergeCells>
  <printOptions/>
  <pageMargins bottom="0.75" footer="0.0" header="0.0" left="0.7" right="0.7" top="0.75"/>
  <pageSetup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5E0B3"/>
    <pageSetUpPr/>
  </sheetPr>
  <sheetViews>
    <sheetView workbookViewId="0"/>
  </sheetViews>
  <sheetFormatPr customHeight="1" defaultColWidth="12.63" defaultRowHeight="15.0"/>
  <cols>
    <col customWidth="1" min="1" max="1" width="2.63"/>
    <col customWidth="1" min="2" max="2" width="8.0"/>
    <col customWidth="1" min="3" max="3" width="30.38"/>
    <col customWidth="1" min="4" max="4" width="5.13"/>
    <col customWidth="1" min="5" max="14" width="12.88"/>
    <col customWidth="1" min="15" max="15" width="2.63"/>
    <col customWidth="1" min="16" max="17" width="12.88"/>
    <col customWidth="1" min="18" max="27" width="8.0"/>
  </cols>
  <sheetData>
    <row r="1" ht="9.0" customHeight="1">
      <c r="A1" s="13"/>
      <c r="B1" s="13"/>
      <c r="C1" s="13"/>
      <c r="D1" s="13"/>
      <c r="E1" s="13"/>
      <c r="F1" s="13"/>
      <c r="G1" s="13"/>
      <c r="H1" s="13"/>
      <c r="I1" s="13"/>
      <c r="J1" s="13"/>
      <c r="K1" s="13"/>
      <c r="L1" s="13"/>
      <c r="M1" s="13"/>
      <c r="N1" s="13"/>
      <c r="O1" s="13"/>
      <c r="P1" s="13"/>
      <c r="Q1" s="13"/>
      <c r="R1" s="13"/>
      <c r="S1" s="13"/>
      <c r="T1" s="13"/>
      <c r="U1" s="13"/>
      <c r="V1" s="13"/>
      <c r="W1" s="13"/>
      <c r="X1" s="13"/>
      <c r="Y1" s="13"/>
      <c r="Z1" s="13"/>
      <c r="AA1" s="13"/>
    </row>
    <row r="2">
      <c r="A2" s="13"/>
      <c r="B2" s="36" t="s">
        <v>300</v>
      </c>
      <c r="C2" s="37"/>
      <c r="D2" s="37"/>
      <c r="E2" s="37"/>
      <c r="F2" s="37"/>
      <c r="G2" s="37"/>
      <c r="H2" s="37"/>
      <c r="I2" s="37"/>
      <c r="J2" s="13"/>
      <c r="K2" s="39" t="s">
        <v>44</v>
      </c>
      <c r="L2" s="39"/>
      <c r="M2" s="13"/>
      <c r="N2" s="13"/>
      <c r="O2" s="13"/>
      <c r="P2" s="13"/>
      <c r="Q2" s="13"/>
      <c r="R2" s="13"/>
      <c r="S2" s="13"/>
      <c r="T2" s="13"/>
      <c r="U2" s="13"/>
      <c r="V2" s="13"/>
      <c r="W2" s="13"/>
      <c r="X2" s="13"/>
      <c r="Y2" s="13"/>
      <c r="Z2" s="13"/>
      <c r="AA2" s="13"/>
    </row>
    <row r="3">
      <c r="A3" s="13"/>
      <c r="B3" s="13"/>
      <c r="C3" s="13"/>
      <c r="D3" s="13"/>
      <c r="E3" s="13"/>
      <c r="F3" s="13"/>
      <c r="G3" s="13"/>
      <c r="H3" s="13"/>
      <c r="I3" s="13"/>
      <c r="J3" s="13"/>
      <c r="K3" s="13"/>
      <c r="L3" s="13"/>
      <c r="M3" s="13"/>
      <c r="N3" s="13"/>
      <c r="O3" s="13"/>
      <c r="P3" s="13"/>
      <c r="Q3" s="13"/>
      <c r="R3" s="13"/>
      <c r="S3" s="13"/>
      <c r="T3" s="13"/>
      <c r="U3" s="13"/>
      <c r="V3" s="13"/>
      <c r="W3" s="13"/>
      <c r="X3" s="13"/>
      <c r="Y3" s="13"/>
      <c r="Z3" s="13"/>
      <c r="AA3" s="13"/>
    </row>
    <row r="4">
      <c r="A4" s="306"/>
      <c r="B4" s="306"/>
      <c r="C4" s="307" t="s">
        <v>301</v>
      </c>
      <c r="D4" s="308"/>
      <c r="E4" s="309"/>
      <c r="F4" s="306"/>
      <c r="G4" s="306"/>
      <c r="H4" s="306"/>
      <c r="I4" s="306"/>
      <c r="J4" s="306"/>
      <c r="K4" s="306"/>
      <c r="L4" s="306"/>
      <c r="M4" s="306"/>
      <c r="N4" s="306"/>
      <c r="O4" s="306"/>
      <c r="P4" s="306"/>
      <c r="Q4" s="306"/>
      <c r="R4" s="306"/>
      <c r="S4" s="306"/>
      <c r="T4" s="306"/>
      <c r="U4" s="306"/>
      <c r="V4" s="306"/>
      <c r="W4" s="306"/>
      <c r="X4" s="306"/>
      <c r="Y4" s="306"/>
      <c r="Z4" s="306"/>
      <c r="AA4" s="306"/>
    </row>
    <row r="5">
      <c r="A5" s="306"/>
      <c r="B5" s="306"/>
      <c r="C5" s="259" t="str">
        <f>'Income &amp; Expenses (P2)'!B66</f>
        <v>Residential Vacancy Rate &amp; Credit Loss</v>
      </c>
      <c r="D5" s="258"/>
      <c r="E5" s="310">
        <f>'Income &amp; Expenses (P2)'!C66</f>
        <v>0.07</v>
      </c>
      <c r="F5" s="311" t="s">
        <v>302</v>
      </c>
      <c r="G5" s="306"/>
      <c r="H5" s="306"/>
      <c r="I5" s="306"/>
      <c r="J5" s="306"/>
      <c r="K5" s="306"/>
      <c r="L5" s="306"/>
      <c r="M5" s="306"/>
      <c r="N5" s="306"/>
      <c r="O5" s="306"/>
      <c r="P5" s="306"/>
      <c r="Q5" s="306"/>
      <c r="R5" s="306"/>
      <c r="S5" s="306"/>
      <c r="T5" s="306"/>
      <c r="U5" s="306"/>
      <c r="V5" s="306"/>
      <c r="W5" s="306"/>
      <c r="X5" s="306"/>
      <c r="Y5" s="306"/>
      <c r="Z5" s="306"/>
      <c r="AA5" s="306"/>
    </row>
    <row r="6">
      <c r="A6" s="306"/>
      <c r="B6" s="306"/>
      <c r="C6" s="259" t="str">
        <f>'Income &amp; Expenses (P2)'!B70</f>
        <v>Commercial Vacancy Rate</v>
      </c>
      <c r="D6" s="258"/>
      <c r="E6" s="310">
        <f>'Income &amp; Expenses (P2)'!C70</f>
        <v>0</v>
      </c>
      <c r="F6" s="311" t="s">
        <v>302</v>
      </c>
      <c r="G6" s="306"/>
      <c r="H6" s="306"/>
      <c r="I6" s="306"/>
      <c r="J6" s="306"/>
      <c r="K6" s="306"/>
      <c r="L6" s="306"/>
      <c r="M6" s="306"/>
      <c r="N6" s="306"/>
      <c r="O6" s="306"/>
      <c r="P6" s="306"/>
      <c r="Q6" s="306"/>
      <c r="R6" s="306"/>
      <c r="S6" s="306"/>
      <c r="T6" s="306"/>
      <c r="U6" s="306"/>
      <c r="V6" s="306"/>
      <c r="W6" s="306"/>
      <c r="X6" s="306"/>
      <c r="Y6" s="306"/>
      <c r="Z6" s="306"/>
      <c r="AA6" s="306"/>
    </row>
    <row r="7">
      <c r="A7" s="306"/>
      <c r="B7" s="306"/>
      <c r="C7" s="259" t="s">
        <v>303</v>
      </c>
      <c r="D7" s="258"/>
      <c r="E7" s="312">
        <v>0.02</v>
      </c>
      <c r="F7" s="306"/>
      <c r="G7" s="306"/>
      <c r="H7" s="306"/>
      <c r="I7" s="306"/>
      <c r="J7" s="306"/>
      <c r="K7" s="306"/>
      <c r="L7" s="306"/>
      <c r="M7" s="306"/>
      <c r="N7" s="306"/>
      <c r="O7" s="306"/>
      <c r="P7" s="306"/>
      <c r="Q7" s="306"/>
      <c r="R7" s="306"/>
      <c r="S7" s="306"/>
      <c r="T7" s="306"/>
      <c r="U7" s="306"/>
      <c r="V7" s="306"/>
      <c r="W7" s="306"/>
      <c r="X7" s="306"/>
      <c r="Y7" s="306"/>
      <c r="Z7" s="306"/>
      <c r="AA7" s="306"/>
    </row>
    <row r="8">
      <c r="A8" s="306"/>
      <c r="B8" s="306"/>
      <c r="C8" s="259" t="s">
        <v>304</v>
      </c>
      <c r="D8" s="258"/>
      <c r="E8" s="312">
        <v>0.02</v>
      </c>
      <c r="F8" s="306"/>
      <c r="G8" s="306"/>
      <c r="H8" s="306"/>
      <c r="I8" s="306"/>
      <c r="J8" s="306"/>
      <c r="K8" s="306"/>
      <c r="L8" s="306"/>
      <c r="M8" s="306"/>
      <c r="N8" s="306"/>
      <c r="O8" s="306"/>
      <c r="P8" s="306"/>
      <c r="Q8" s="306"/>
      <c r="R8" s="306"/>
      <c r="S8" s="306"/>
      <c r="T8" s="306"/>
      <c r="U8" s="306"/>
      <c r="V8" s="306"/>
      <c r="W8" s="306"/>
      <c r="X8" s="306"/>
      <c r="Y8" s="306"/>
      <c r="Z8" s="306"/>
      <c r="AA8" s="306"/>
    </row>
    <row r="9">
      <c r="A9" s="306"/>
      <c r="B9" s="306"/>
      <c r="C9" s="259" t="s">
        <v>305</v>
      </c>
      <c r="D9" s="258"/>
      <c r="E9" s="312">
        <v>0.03</v>
      </c>
      <c r="F9" s="306"/>
      <c r="G9" s="306"/>
      <c r="H9" s="306"/>
      <c r="I9" s="306"/>
      <c r="J9" s="306"/>
      <c r="K9" s="306"/>
      <c r="L9" s="306"/>
      <c r="M9" s="306"/>
      <c r="N9" s="306"/>
      <c r="O9" s="306"/>
      <c r="P9" s="306"/>
      <c r="Q9" s="306"/>
      <c r="R9" s="306"/>
      <c r="S9" s="306"/>
      <c r="T9" s="306"/>
      <c r="U9" s="306"/>
      <c r="V9" s="306"/>
      <c r="W9" s="306"/>
      <c r="X9" s="306"/>
      <c r="Y9" s="306"/>
      <c r="Z9" s="306"/>
      <c r="AA9" s="306"/>
    </row>
    <row r="10">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row>
    <row r="11" ht="15.75" customHeight="1">
      <c r="A11" s="13"/>
      <c r="B11" s="13"/>
      <c r="C11" s="174"/>
      <c r="D11" s="313"/>
      <c r="E11" s="314" t="s">
        <v>306</v>
      </c>
      <c r="F11" s="314" t="s">
        <v>307</v>
      </c>
      <c r="G11" s="314" t="s">
        <v>308</v>
      </c>
      <c r="H11" s="314" t="s">
        <v>309</v>
      </c>
      <c r="I11" s="314" t="s">
        <v>310</v>
      </c>
      <c r="J11" s="314" t="s">
        <v>311</v>
      </c>
      <c r="K11" s="314" t="s">
        <v>312</v>
      </c>
      <c r="L11" s="314" t="s">
        <v>313</v>
      </c>
      <c r="M11" s="314" t="s">
        <v>314</v>
      </c>
      <c r="N11" s="315" t="s">
        <v>315</v>
      </c>
      <c r="O11" s="200"/>
      <c r="P11" s="316" t="s">
        <v>316</v>
      </c>
      <c r="Q11" s="315" t="s">
        <v>317</v>
      </c>
      <c r="R11" s="13"/>
      <c r="S11" s="13"/>
      <c r="T11" s="13"/>
      <c r="U11" s="13"/>
      <c r="V11" s="13"/>
      <c r="W11" s="13"/>
      <c r="X11" s="13"/>
      <c r="Y11" s="13"/>
      <c r="Z11" s="13"/>
      <c r="AA11" s="13"/>
    </row>
    <row r="12">
      <c r="A12" s="13"/>
      <c r="B12" s="317" t="s">
        <v>318</v>
      </c>
      <c r="C12" s="318" t="str">
        <f>'Income &amp; Expenses (P2)'!B65</f>
        <v>Potential Gross Rental Revenue</v>
      </c>
      <c r="D12" s="319"/>
      <c r="E12" s="320">
        <f>'Income &amp; Expenses (P2)'!H38</f>
        <v>1848096</v>
      </c>
      <c r="F12" s="320">
        <f t="shared" ref="F12:N12" si="1">E12*(1+$E$7)</f>
        <v>1885057.92</v>
      </c>
      <c r="G12" s="320">
        <f t="shared" si="1"/>
        <v>1922759.078</v>
      </c>
      <c r="H12" s="320">
        <f t="shared" si="1"/>
        <v>1961214.26</v>
      </c>
      <c r="I12" s="320">
        <f t="shared" si="1"/>
        <v>2000438.545</v>
      </c>
      <c r="J12" s="320">
        <f t="shared" si="1"/>
        <v>2040447.316</v>
      </c>
      <c r="K12" s="320">
        <f t="shared" si="1"/>
        <v>2081256.262</v>
      </c>
      <c r="L12" s="320">
        <f t="shared" si="1"/>
        <v>2122881.388</v>
      </c>
      <c r="M12" s="320">
        <f t="shared" si="1"/>
        <v>2165339.015</v>
      </c>
      <c r="N12" s="321">
        <f t="shared" si="1"/>
        <v>2208645.796</v>
      </c>
      <c r="O12" s="322"/>
      <c r="P12" s="323">
        <f>N12*(1+$E$7)^5</f>
        <v>2438523.424</v>
      </c>
      <c r="Q12" s="321">
        <f>N12*(1+$E$7)^10</f>
        <v>2692326.901</v>
      </c>
      <c r="R12" s="13"/>
      <c r="S12" s="13"/>
      <c r="T12" s="13"/>
      <c r="U12" s="13"/>
      <c r="V12" s="13"/>
      <c r="W12" s="13"/>
      <c r="X12" s="13"/>
      <c r="Y12" s="13"/>
      <c r="Z12" s="13"/>
      <c r="AA12" s="13"/>
    </row>
    <row r="13">
      <c r="A13" s="13"/>
      <c r="B13" s="168"/>
      <c r="C13" s="230" t="str">
        <f>'Income &amp; Expenses (P2)'!B66</f>
        <v>Residential Vacancy Rate &amp; Credit Loss</v>
      </c>
      <c r="D13" s="13"/>
      <c r="E13" s="322">
        <f>'Income &amp; Expenses (P2)'!D66</f>
        <v>-129366.72</v>
      </c>
      <c r="F13" s="322">
        <f t="shared" ref="F13:N13" si="2">-F12*$E$5</f>
        <v>-131954.0544</v>
      </c>
      <c r="G13" s="322">
        <f t="shared" si="2"/>
        <v>-134593.1355</v>
      </c>
      <c r="H13" s="322">
        <f t="shared" si="2"/>
        <v>-137284.9982</v>
      </c>
      <c r="I13" s="322">
        <f t="shared" si="2"/>
        <v>-140030.6982</v>
      </c>
      <c r="J13" s="322">
        <f t="shared" si="2"/>
        <v>-142831.3121</v>
      </c>
      <c r="K13" s="322">
        <f t="shared" si="2"/>
        <v>-145687.9384</v>
      </c>
      <c r="L13" s="322">
        <f t="shared" si="2"/>
        <v>-148601.6971</v>
      </c>
      <c r="M13" s="322">
        <f t="shared" si="2"/>
        <v>-151573.7311</v>
      </c>
      <c r="N13" s="325">
        <f t="shared" si="2"/>
        <v>-154605.2057</v>
      </c>
      <c r="O13" s="322"/>
      <c r="P13" s="324">
        <f t="shared" ref="P13:Q13" si="3">-P12*$E$5</f>
        <v>-170696.6397</v>
      </c>
      <c r="Q13" s="325">
        <f t="shared" si="3"/>
        <v>-188462.883</v>
      </c>
      <c r="R13" s="13"/>
      <c r="S13" s="13"/>
      <c r="T13" s="13"/>
      <c r="U13" s="13"/>
      <c r="V13" s="13"/>
      <c r="W13" s="13"/>
      <c r="X13" s="13"/>
      <c r="Y13" s="13"/>
      <c r="Z13" s="13"/>
      <c r="AA13" s="13"/>
    </row>
    <row r="14">
      <c r="A14" s="13"/>
      <c r="B14" s="168"/>
      <c r="C14" s="172" t="s">
        <v>319</v>
      </c>
      <c r="D14" s="326"/>
      <c r="E14" s="327">
        <f t="shared" ref="E14:N14" si="4">SUM(E12:E13)</f>
        <v>1718729.28</v>
      </c>
      <c r="F14" s="327">
        <f t="shared" si="4"/>
        <v>1753103.866</v>
      </c>
      <c r="G14" s="327">
        <f t="shared" si="4"/>
        <v>1788165.943</v>
      </c>
      <c r="H14" s="327">
        <f t="shared" si="4"/>
        <v>1823929.262</v>
      </c>
      <c r="I14" s="327">
        <f t="shared" si="4"/>
        <v>1860407.847</v>
      </c>
      <c r="J14" s="327">
        <f t="shared" si="4"/>
        <v>1897616.004</v>
      </c>
      <c r="K14" s="327">
        <f t="shared" si="4"/>
        <v>1935568.324</v>
      </c>
      <c r="L14" s="327">
        <f t="shared" si="4"/>
        <v>1974279.691</v>
      </c>
      <c r="M14" s="327">
        <f t="shared" si="4"/>
        <v>2013765.284</v>
      </c>
      <c r="N14" s="328">
        <f t="shared" si="4"/>
        <v>2054040.59</v>
      </c>
      <c r="O14" s="322"/>
      <c r="P14" s="329">
        <f t="shared" ref="P14:Q14" si="5">SUM(P12:P13)</f>
        <v>2267826.784</v>
      </c>
      <c r="Q14" s="328">
        <f t="shared" si="5"/>
        <v>2503864.018</v>
      </c>
      <c r="R14" s="13"/>
      <c r="S14" s="13"/>
      <c r="T14" s="13"/>
      <c r="U14" s="13"/>
      <c r="V14" s="13"/>
      <c r="W14" s="13"/>
      <c r="X14" s="13"/>
      <c r="Y14" s="13"/>
      <c r="Z14" s="13"/>
      <c r="AA14" s="13"/>
    </row>
    <row r="15">
      <c r="A15" s="13"/>
      <c r="B15" s="168"/>
      <c r="C15" s="230"/>
      <c r="D15" s="13"/>
      <c r="E15" s="322"/>
      <c r="F15" s="322"/>
      <c r="G15" s="322"/>
      <c r="H15" s="322"/>
      <c r="I15" s="322"/>
      <c r="J15" s="322"/>
      <c r="K15" s="322"/>
      <c r="L15" s="322"/>
      <c r="M15" s="322"/>
      <c r="N15" s="325"/>
      <c r="O15" s="322"/>
      <c r="P15" s="324"/>
      <c r="Q15" s="325"/>
      <c r="R15" s="13"/>
      <c r="S15" s="13"/>
      <c r="T15" s="13"/>
      <c r="U15" s="13"/>
      <c r="V15" s="13"/>
      <c r="W15" s="13"/>
      <c r="X15" s="13"/>
      <c r="Y15" s="13"/>
      <c r="Z15" s="13"/>
      <c r="AA15" s="13"/>
    </row>
    <row r="16">
      <c r="A16" s="13"/>
      <c r="B16" s="168"/>
      <c r="C16" s="230" t="str">
        <f>'Income &amp; Expenses (P2)'!B69</f>
        <v>Potential Gross Commercial Revenue</v>
      </c>
      <c r="D16" s="13"/>
      <c r="E16" s="330">
        <f>'Income &amp; Expenses (P2)'!D69</f>
        <v>0</v>
      </c>
      <c r="F16" s="322">
        <f t="shared" ref="F16:N16" si="6">E16*(1+$E$8)</f>
        <v>0</v>
      </c>
      <c r="G16" s="322">
        <f t="shared" si="6"/>
        <v>0</v>
      </c>
      <c r="H16" s="322">
        <f t="shared" si="6"/>
        <v>0</v>
      </c>
      <c r="I16" s="322">
        <f t="shared" si="6"/>
        <v>0</v>
      </c>
      <c r="J16" s="322">
        <f t="shared" si="6"/>
        <v>0</v>
      </c>
      <c r="K16" s="322">
        <f t="shared" si="6"/>
        <v>0</v>
      </c>
      <c r="L16" s="322">
        <f t="shared" si="6"/>
        <v>0</v>
      </c>
      <c r="M16" s="322">
        <f t="shared" si="6"/>
        <v>0</v>
      </c>
      <c r="N16" s="325">
        <f t="shared" si="6"/>
        <v>0</v>
      </c>
      <c r="O16" s="322"/>
      <c r="P16" s="324">
        <f>N16*(1+$E$8)^5</f>
        <v>0</v>
      </c>
      <c r="Q16" s="325">
        <f>N16*(1+$E$8)^10</f>
        <v>0</v>
      </c>
      <c r="R16" s="13"/>
      <c r="S16" s="13"/>
      <c r="T16" s="13"/>
      <c r="U16" s="13"/>
      <c r="V16" s="13"/>
      <c r="W16" s="13"/>
      <c r="X16" s="13"/>
      <c r="Y16" s="13"/>
      <c r="Z16" s="13"/>
      <c r="AA16" s="13"/>
    </row>
    <row r="17">
      <c r="A17" s="13"/>
      <c r="B17" s="168"/>
      <c r="C17" s="230" t="str">
        <f>'Income &amp; Expenses (P2)'!B70</f>
        <v>Commercial Vacancy Rate</v>
      </c>
      <c r="D17" s="13"/>
      <c r="E17" s="330">
        <f>'Income &amp; Expenses (P2)'!D70</f>
        <v>0</v>
      </c>
      <c r="F17" s="330">
        <f t="shared" ref="F17:N17" si="7">F16*$E$6</f>
        <v>0</v>
      </c>
      <c r="G17" s="330">
        <f t="shared" si="7"/>
        <v>0</v>
      </c>
      <c r="H17" s="330">
        <f t="shared" si="7"/>
        <v>0</v>
      </c>
      <c r="I17" s="330">
        <f t="shared" si="7"/>
        <v>0</v>
      </c>
      <c r="J17" s="330">
        <f t="shared" si="7"/>
        <v>0</v>
      </c>
      <c r="K17" s="330">
        <f t="shared" si="7"/>
        <v>0</v>
      </c>
      <c r="L17" s="330">
        <f t="shared" si="7"/>
        <v>0</v>
      </c>
      <c r="M17" s="330">
        <f t="shared" si="7"/>
        <v>0</v>
      </c>
      <c r="N17" s="331">
        <f t="shared" si="7"/>
        <v>0</v>
      </c>
      <c r="O17" s="322"/>
      <c r="P17" s="332">
        <f t="shared" ref="P17:Q17" si="8">P16*$E$6</f>
        <v>0</v>
      </c>
      <c r="Q17" s="331">
        <f t="shared" si="8"/>
        <v>0</v>
      </c>
      <c r="R17" s="13"/>
      <c r="S17" s="13"/>
      <c r="T17" s="13"/>
      <c r="U17" s="13"/>
      <c r="V17" s="13"/>
      <c r="W17" s="13"/>
      <c r="X17" s="13"/>
      <c r="Y17" s="13"/>
      <c r="Z17" s="13"/>
      <c r="AA17" s="13"/>
    </row>
    <row r="18">
      <c r="A18" s="13"/>
      <c r="B18" s="168"/>
      <c r="C18" s="172" t="s">
        <v>320</v>
      </c>
      <c r="D18" s="326"/>
      <c r="E18" s="327">
        <f t="shared" ref="E18:N18" si="9">SUM(E16:E17)</f>
        <v>0</v>
      </c>
      <c r="F18" s="327">
        <f t="shared" si="9"/>
        <v>0</v>
      </c>
      <c r="G18" s="327">
        <f t="shared" si="9"/>
        <v>0</v>
      </c>
      <c r="H18" s="327">
        <f t="shared" si="9"/>
        <v>0</v>
      </c>
      <c r="I18" s="327">
        <f t="shared" si="9"/>
        <v>0</v>
      </c>
      <c r="J18" s="327">
        <f t="shared" si="9"/>
        <v>0</v>
      </c>
      <c r="K18" s="327">
        <f t="shared" si="9"/>
        <v>0</v>
      </c>
      <c r="L18" s="327">
        <f t="shared" si="9"/>
        <v>0</v>
      </c>
      <c r="M18" s="327">
        <f t="shared" si="9"/>
        <v>0</v>
      </c>
      <c r="N18" s="328">
        <f t="shared" si="9"/>
        <v>0</v>
      </c>
      <c r="O18" s="322"/>
      <c r="P18" s="329">
        <f t="shared" ref="P18:Q18" si="10">SUM(P16:P17)</f>
        <v>0</v>
      </c>
      <c r="Q18" s="328">
        <f t="shared" si="10"/>
        <v>0</v>
      </c>
      <c r="R18" s="13"/>
      <c r="S18" s="13"/>
      <c r="T18" s="13"/>
      <c r="U18" s="13"/>
      <c r="V18" s="13"/>
      <c r="W18" s="13"/>
      <c r="X18" s="13"/>
      <c r="Y18" s="13"/>
      <c r="Z18" s="13"/>
      <c r="AA18" s="13"/>
    </row>
    <row r="19">
      <c r="A19" s="13"/>
      <c r="B19" s="168"/>
      <c r="C19" s="230"/>
      <c r="D19" s="13"/>
      <c r="E19" s="322"/>
      <c r="F19" s="322"/>
      <c r="G19" s="322"/>
      <c r="H19" s="322"/>
      <c r="I19" s="322"/>
      <c r="J19" s="322"/>
      <c r="K19" s="322"/>
      <c r="L19" s="322"/>
      <c r="M19" s="322"/>
      <c r="N19" s="325"/>
      <c r="O19" s="322"/>
      <c r="P19" s="324"/>
      <c r="Q19" s="325"/>
      <c r="R19" s="13"/>
      <c r="S19" s="13"/>
      <c r="T19" s="13"/>
      <c r="U19" s="13"/>
      <c r="V19" s="13"/>
      <c r="W19" s="13"/>
      <c r="X19" s="13"/>
      <c r="Y19" s="13"/>
      <c r="Z19" s="13"/>
      <c r="AA19" s="13"/>
    </row>
    <row r="20">
      <c r="A20" s="13"/>
      <c r="B20" s="168"/>
      <c r="C20" s="230" t="s">
        <v>321</v>
      </c>
      <c r="D20" s="13"/>
      <c r="E20" s="322">
        <f>'Income &amp; Expenses (P2)'!F48</f>
        <v>7680</v>
      </c>
      <c r="F20" s="322">
        <f t="shared" ref="F20:N20" si="11">E20*(1+$E$7)</f>
        <v>7833.6</v>
      </c>
      <c r="G20" s="322">
        <f t="shared" si="11"/>
        <v>7990.272</v>
      </c>
      <c r="H20" s="322">
        <f t="shared" si="11"/>
        <v>8150.07744</v>
      </c>
      <c r="I20" s="322">
        <f t="shared" si="11"/>
        <v>8313.078989</v>
      </c>
      <c r="J20" s="322">
        <f t="shared" si="11"/>
        <v>8479.340569</v>
      </c>
      <c r="K20" s="322">
        <f t="shared" si="11"/>
        <v>8648.92738</v>
      </c>
      <c r="L20" s="322">
        <f t="shared" si="11"/>
        <v>8821.905928</v>
      </c>
      <c r="M20" s="322">
        <f t="shared" si="11"/>
        <v>8998.344046</v>
      </c>
      <c r="N20" s="325">
        <f t="shared" si="11"/>
        <v>9178.310927</v>
      </c>
      <c r="O20" s="322"/>
      <c r="P20" s="324">
        <f>N20*(1+$E$7)^5</f>
        <v>10133.5969</v>
      </c>
      <c r="Q20" s="325">
        <f>N20*(1+$E$7)^10</f>
        <v>11188.30981</v>
      </c>
      <c r="R20" s="13"/>
      <c r="S20" s="13"/>
      <c r="T20" s="13"/>
      <c r="U20" s="13"/>
      <c r="V20" s="13"/>
      <c r="W20" s="13"/>
      <c r="X20" s="13"/>
      <c r="Y20" s="13"/>
      <c r="Z20" s="13"/>
      <c r="AA20" s="13"/>
    </row>
    <row r="21" ht="15.75" customHeight="1">
      <c r="A21" s="13"/>
      <c r="B21" s="168"/>
      <c r="C21" s="285"/>
      <c r="D21" s="333"/>
      <c r="E21" s="334"/>
      <c r="F21" s="334"/>
      <c r="G21" s="334"/>
      <c r="H21" s="334"/>
      <c r="I21" s="334"/>
      <c r="J21" s="334"/>
      <c r="K21" s="334"/>
      <c r="L21" s="334"/>
      <c r="M21" s="334"/>
      <c r="N21" s="335"/>
      <c r="O21" s="322"/>
      <c r="P21" s="336"/>
      <c r="Q21" s="335"/>
      <c r="R21" s="13"/>
      <c r="S21" s="13"/>
      <c r="T21" s="13"/>
      <c r="U21" s="13"/>
      <c r="V21" s="13"/>
      <c r="W21" s="13"/>
      <c r="X21" s="13"/>
      <c r="Y21" s="13"/>
      <c r="Z21" s="13"/>
      <c r="AA21" s="13"/>
    </row>
    <row r="22" ht="15.75" customHeight="1">
      <c r="A22" s="13"/>
      <c r="B22" s="171"/>
      <c r="C22" s="337" t="s">
        <v>322</v>
      </c>
      <c r="D22" s="21"/>
      <c r="E22" s="338">
        <f t="shared" ref="E22:N22" si="12">E14+E18+E20</f>
        <v>1726409.28</v>
      </c>
      <c r="F22" s="338">
        <f t="shared" si="12"/>
        <v>1760937.466</v>
      </c>
      <c r="G22" s="338">
        <f t="shared" si="12"/>
        <v>1796156.215</v>
      </c>
      <c r="H22" s="338">
        <f t="shared" si="12"/>
        <v>1832079.339</v>
      </c>
      <c r="I22" s="338">
        <f t="shared" si="12"/>
        <v>1868720.926</v>
      </c>
      <c r="J22" s="338">
        <f t="shared" si="12"/>
        <v>1906095.345</v>
      </c>
      <c r="K22" s="338">
        <f t="shared" si="12"/>
        <v>1944217.251</v>
      </c>
      <c r="L22" s="338">
        <f t="shared" si="12"/>
        <v>1983101.596</v>
      </c>
      <c r="M22" s="338">
        <f t="shared" si="12"/>
        <v>2022763.628</v>
      </c>
      <c r="N22" s="339">
        <f t="shared" si="12"/>
        <v>2063218.901</v>
      </c>
      <c r="O22" s="340"/>
      <c r="P22" s="341">
        <f t="shared" ref="P22:Q22" si="13">P14+P18+P20</f>
        <v>2277960.381</v>
      </c>
      <c r="Q22" s="339">
        <f t="shared" si="13"/>
        <v>2515052.327</v>
      </c>
      <c r="R22" s="13"/>
      <c r="S22" s="13"/>
      <c r="T22" s="13"/>
      <c r="U22" s="13"/>
      <c r="V22" s="13"/>
      <c r="W22" s="13"/>
      <c r="X22" s="13"/>
      <c r="Y22" s="13"/>
      <c r="Z22" s="13"/>
      <c r="AA22" s="13"/>
    </row>
    <row r="23" ht="15.75" customHeight="1">
      <c r="A23" s="13"/>
      <c r="B23" s="13"/>
      <c r="C23" s="13"/>
      <c r="D23" s="13"/>
      <c r="E23" s="322"/>
      <c r="F23" s="322"/>
      <c r="G23" s="322"/>
      <c r="H23" s="322"/>
      <c r="I23" s="322"/>
      <c r="J23" s="322"/>
      <c r="K23" s="322"/>
      <c r="L23" s="322"/>
      <c r="M23" s="322"/>
      <c r="N23" s="322"/>
      <c r="O23" s="322"/>
      <c r="P23" s="322"/>
      <c r="Q23" s="322"/>
      <c r="R23" s="13"/>
      <c r="S23" s="13"/>
      <c r="T23" s="13"/>
      <c r="U23" s="13"/>
      <c r="V23" s="13"/>
      <c r="W23" s="13"/>
      <c r="X23" s="13"/>
      <c r="Y23" s="13"/>
      <c r="Z23" s="13"/>
      <c r="AA23" s="13"/>
    </row>
    <row r="24" ht="15.75" customHeight="1">
      <c r="A24" s="13"/>
      <c r="B24" s="317" t="s">
        <v>323</v>
      </c>
      <c r="C24" s="318" t="s">
        <v>324</v>
      </c>
      <c r="D24" s="319"/>
      <c r="E24" s="320">
        <f>'Income &amp; Expenses (P2)'!C88</f>
        <v>210623.6898</v>
      </c>
      <c r="F24" s="320">
        <f t="shared" ref="F24:N24" si="14">E24*(1+$E$9)</f>
        <v>216942.4005</v>
      </c>
      <c r="G24" s="320">
        <f t="shared" si="14"/>
        <v>223450.6725</v>
      </c>
      <c r="H24" s="320">
        <f t="shared" si="14"/>
        <v>230154.1927</v>
      </c>
      <c r="I24" s="320">
        <f t="shared" si="14"/>
        <v>237058.8185</v>
      </c>
      <c r="J24" s="320">
        <f t="shared" si="14"/>
        <v>244170.583</v>
      </c>
      <c r="K24" s="320">
        <f t="shared" si="14"/>
        <v>251495.7005</v>
      </c>
      <c r="L24" s="320">
        <f t="shared" si="14"/>
        <v>259040.5715</v>
      </c>
      <c r="M24" s="320">
        <f t="shared" si="14"/>
        <v>266811.7887</v>
      </c>
      <c r="N24" s="321">
        <f t="shared" si="14"/>
        <v>274816.1423</v>
      </c>
      <c r="O24" s="322"/>
      <c r="P24" s="323">
        <f t="shared" ref="P24:P30" si="16">N24*(1+$E$9)^5</f>
        <v>318587.229</v>
      </c>
      <c r="Q24" s="321">
        <f t="shared" ref="Q24:Q30" si="17">N24*(1+$E$9)^10</f>
        <v>369329.915</v>
      </c>
      <c r="R24" s="13"/>
      <c r="S24" s="13"/>
      <c r="T24" s="13"/>
      <c r="U24" s="13"/>
      <c r="V24" s="13"/>
      <c r="W24" s="13"/>
      <c r="X24" s="13"/>
      <c r="Y24" s="13"/>
      <c r="Z24" s="13"/>
      <c r="AA24" s="13"/>
    </row>
    <row r="25" ht="15.75" customHeight="1">
      <c r="A25" s="13"/>
      <c r="B25" s="168"/>
      <c r="C25" s="230" t="s">
        <v>270</v>
      </c>
      <c r="D25" s="13"/>
      <c r="E25" s="322">
        <f>'Income &amp; Expenses (P2)'!C94</f>
        <v>33280</v>
      </c>
      <c r="F25" s="322">
        <f t="shared" ref="F25:N25" si="15">E25*(1+$E$9)</f>
        <v>34278.4</v>
      </c>
      <c r="G25" s="322">
        <f t="shared" si="15"/>
        <v>35306.752</v>
      </c>
      <c r="H25" s="322">
        <f t="shared" si="15"/>
        <v>36365.95456</v>
      </c>
      <c r="I25" s="322">
        <f t="shared" si="15"/>
        <v>37456.9332</v>
      </c>
      <c r="J25" s="322">
        <f t="shared" si="15"/>
        <v>38580.64119</v>
      </c>
      <c r="K25" s="322">
        <f t="shared" si="15"/>
        <v>39738.06043</v>
      </c>
      <c r="L25" s="322">
        <f t="shared" si="15"/>
        <v>40930.20224</v>
      </c>
      <c r="M25" s="322">
        <f t="shared" si="15"/>
        <v>42158.10831</v>
      </c>
      <c r="N25" s="325">
        <f t="shared" si="15"/>
        <v>43422.85156</v>
      </c>
      <c r="O25" s="322"/>
      <c r="P25" s="324">
        <f t="shared" si="16"/>
        <v>50338.98604</v>
      </c>
      <c r="Q25" s="325">
        <f t="shared" si="17"/>
        <v>58356.68145</v>
      </c>
      <c r="R25" s="13"/>
      <c r="S25" s="13"/>
      <c r="T25" s="13"/>
      <c r="U25" s="13"/>
      <c r="V25" s="13"/>
      <c r="W25" s="13"/>
      <c r="X25" s="13"/>
      <c r="Y25" s="13"/>
      <c r="Z25" s="13"/>
      <c r="AA25" s="13"/>
    </row>
    <row r="26" ht="15.75" customHeight="1">
      <c r="A26" s="13"/>
      <c r="B26" s="168"/>
      <c r="C26" s="230" t="s">
        <v>275</v>
      </c>
      <c r="D26" s="13"/>
      <c r="E26" s="322">
        <f>'Income &amp; Expenses (P2)'!C106</f>
        <v>146160</v>
      </c>
      <c r="F26" s="322">
        <f t="shared" ref="F26:N26" si="18">E26*(1+$E$9)</f>
        <v>150544.8</v>
      </c>
      <c r="G26" s="322">
        <f t="shared" si="18"/>
        <v>155061.144</v>
      </c>
      <c r="H26" s="322">
        <f t="shared" si="18"/>
        <v>159712.9783</v>
      </c>
      <c r="I26" s="322">
        <f t="shared" si="18"/>
        <v>164504.3677</v>
      </c>
      <c r="J26" s="322">
        <f t="shared" si="18"/>
        <v>169439.4987</v>
      </c>
      <c r="K26" s="322">
        <f t="shared" si="18"/>
        <v>174522.6837</v>
      </c>
      <c r="L26" s="322">
        <f t="shared" si="18"/>
        <v>179758.3642</v>
      </c>
      <c r="M26" s="322">
        <f t="shared" si="18"/>
        <v>185151.1151</v>
      </c>
      <c r="N26" s="325">
        <f t="shared" si="18"/>
        <v>190705.6485</v>
      </c>
      <c r="O26" s="322"/>
      <c r="P26" s="324">
        <f t="shared" si="16"/>
        <v>221080.1142</v>
      </c>
      <c r="Q26" s="325">
        <f t="shared" si="17"/>
        <v>256292.4447</v>
      </c>
      <c r="R26" s="13"/>
      <c r="S26" s="13"/>
      <c r="T26" s="13"/>
      <c r="U26" s="13"/>
      <c r="V26" s="13"/>
      <c r="W26" s="13"/>
      <c r="X26" s="13"/>
      <c r="Y26" s="13"/>
      <c r="Z26" s="13"/>
      <c r="AA26" s="13"/>
    </row>
    <row r="27" ht="15.75" customHeight="1">
      <c r="A27" s="13"/>
      <c r="B27" s="168"/>
      <c r="C27" s="230" t="s">
        <v>286</v>
      </c>
      <c r="D27" s="13"/>
      <c r="E27" s="322">
        <f>'Income &amp; Expenses (P2)'!C111</f>
        <v>120412</v>
      </c>
      <c r="F27" s="322">
        <f t="shared" ref="F27:N27" si="19">E27*(1+$E$9)</f>
        <v>124024.36</v>
      </c>
      <c r="G27" s="322">
        <f t="shared" si="19"/>
        <v>127745.0908</v>
      </c>
      <c r="H27" s="322">
        <f t="shared" si="19"/>
        <v>131577.4435</v>
      </c>
      <c r="I27" s="322">
        <f t="shared" si="19"/>
        <v>135524.7668</v>
      </c>
      <c r="J27" s="322">
        <f t="shared" si="19"/>
        <v>139590.5098</v>
      </c>
      <c r="K27" s="322">
        <f t="shared" si="19"/>
        <v>143778.2251</v>
      </c>
      <c r="L27" s="322">
        <f t="shared" si="19"/>
        <v>148091.5719</v>
      </c>
      <c r="M27" s="322">
        <f t="shared" si="19"/>
        <v>152534.319</v>
      </c>
      <c r="N27" s="325">
        <f t="shared" si="19"/>
        <v>157110.3486</v>
      </c>
      <c r="O27" s="322"/>
      <c r="P27" s="324">
        <f t="shared" si="16"/>
        <v>182133.9539</v>
      </c>
      <c r="Q27" s="325">
        <f t="shared" si="17"/>
        <v>211143.1709</v>
      </c>
      <c r="R27" s="13"/>
      <c r="S27" s="13"/>
      <c r="T27" s="13"/>
      <c r="U27" s="13"/>
      <c r="V27" s="13"/>
      <c r="W27" s="13"/>
      <c r="X27" s="13"/>
      <c r="Y27" s="13"/>
      <c r="Z27" s="13"/>
      <c r="AA27" s="13"/>
    </row>
    <row r="28" ht="15.75" customHeight="1">
      <c r="A28" s="13"/>
      <c r="B28" s="168"/>
      <c r="C28" s="230" t="s">
        <v>290</v>
      </c>
      <c r="D28" s="13"/>
      <c r="E28" s="322">
        <f>'Income &amp; Expenses (P2)'!C116</f>
        <v>29050.91811</v>
      </c>
      <c r="F28" s="322">
        <f t="shared" ref="F28:N28" si="20">E28*(1+$E$9)</f>
        <v>29922.44566</v>
      </c>
      <c r="G28" s="322">
        <f t="shared" si="20"/>
        <v>30820.11903</v>
      </c>
      <c r="H28" s="322">
        <f t="shared" si="20"/>
        <v>31744.7226</v>
      </c>
      <c r="I28" s="322">
        <f t="shared" si="20"/>
        <v>32697.06428</v>
      </c>
      <c r="J28" s="322">
        <f t="shared" si="20"/>
        <v>33677.9762</v>
      </c>
      <c r="K28" s="322">
        <f t="shared" si="20"/>
        <v>34688.31549</v>
      </c>
      <c r="L28" s="322">
        <f t="shared" si="20"/>
        <v>35728.96496</v>
      </c>
      <c r="M28" s="322">
        <f t="shared" si="20"/>
        <v>36800.8339</v>
      </c>
      <c r="N28" s="325">
        <f t="shared" si="20"/>
        <v>37904.85892</v>
      </c>
      <c r="O28" s="322"/>
      <c r="P28" s="324">
        <f t="shared" si="16"/>
        <v>43942.12024</v>
      </c>
      <c r="Q28" s="325">
        <f t="shared" si="17"/>
        <v>50940.96076</v>
      </c>
      <c r="R28" s="13"/>
      <c r="S28" s="13"/>
      <c r="T28" s="13"/>
      <c r="U28" s="13"/>
      <c r="V28" s="13"/>
      <c r="W28" s="13"/>
      <c r="X28" s="13"/>
      <c r="Y28" s="13"/>
      <c r="Z28" s="13"/>
      <c r="AA28" s="13"/>
    </row>
    <row r="29" ht="15.75" customHeight="1">
      <c r="A29" s="13"/>
      <c r="B29" s="168"/>
      <c r="C29" s="230" t="s">
        <v>293</v>
      </c>
      <c r="D29" s="13"/>
      <c r="E29" s="322">
        <f>'Income &amp; Expenses (P2)'!C121</f>
        <v>11000</v>
      </c>
      <c r="F29" s="322">
        <f t="shared" ref="F29:N29" si="21">E29*(1+$E$9)</f>
        <v>11330</v>
      </c>
      <c r="G29" s="322">
        <f t="shared" si="21"/>
        <v>11669.9</v>
      </c>
      <c r="H29" s="322">
        <f t="shared" si="21"/>
        <v>12019.997</v>
      </c>
      <c r="I29" s="322">
        <f t="shared" si="21"/>
        <v>12380.59691</v>
      </c>
      <c r="J29" s="322">
        <f t="shared" si="21"/>
        <v>12752.01482</v>
      </c>
      <c r="K29" s="322">
        <f t="shared" si="21"/>
        <v>13134.57526</v>
      </c>
      <c r="L29" s="322">
        <f t="shared" si="21"/>
        <v>13528.61252</v>
      </c>
      <c r="M29" s="322">
        <f t="shared" si="21"/>
        <v>13934.4709</v>
      </c>
      <c r="N29" s="325">
        <f t="shared" si="21"/>
        <v>14352.50502</v>
      </c>
      <c r="O29" s="322"/>
      <c r="P29" s="324">
        <f t="shared" si="16"/>
        <v>16638.48697</v>
      </c>
      <c r="Q29" s="325">
        <f t="shared" si="17"/>
        <v>19288.56658</v>
      </c>
      <c r="R29" s="13"/>
      <c r="S29" s="13"/>
      <c r="T29" s="13"/>
      <c r="U29" s="13"/>
      <c r="V29" s="13"/>
      <c r="W29" s="13"/>
      <c r="X29" s="13"/>
      <c r="Y29" s="13"/>
      <c r="Z29" s="13"/>
      <c r="AA29" s="13"/>
    </row>
    <row r="30" ht="15.75" customHeight="1">
      <c r="A30" s="13"/>
      <c r="B30" s="168"/>
      <c r="C30" s="285" t="s">
        <v>141</v>
      </c>
      <c r="D30" s="333"/>
      <c r="E30" s="334">
        <f>'Income &amp; Expenses (P2)'!C125</f>
        <v>38400</v>
      </c>
      <c r="F30" s="334">
        <f t="shared" ref="F30:N30" si="22">E30*(1+$E$9)</f>
        <v>39552</v>
      </c>
      <c r="G30" s="334">
        <f t="shared" si="22"/>
        <v>40738.56</v>
      </c>
      <c r="H30" s="334">
        <f t="shared" si="22"/>
        <v>41960.7168</v>
      </c>
      <c r="I30" s="334">
        <f t="shared" si="22"/>
        <v>43219.5383</v>
      </c>
      <c r="J30" s="334">
        <f t="shared" si="22"/>
        <v>44516.12445</v>
      </c>
      <c r="K30" s="334">
        <f t="shared" si="22"/>
        <v>45851.60819</v>
      </c>
      <c r="L30" s="334">
        <f t="shared" si="22"/>
        <v>47227.15643</v>
      </c>
      <c r="M30" s="334">
        <f t="shared" si="22"/>
        <v>48643.97113</v>
      </c>
      <c r="N30" s="335">
        <f t="shared" si="22"/>
        <v>50103.29026</v>
      </c>
      <c r="O30" s="322"/>
      <c r="P30" s="336">
        <f t="shared" si="16"/>
        <v>58083.44543</v>
      </c>
      <c r="Q30" s="335">
        <f t="shared" si="17"/>
        <v>67334.63244</v>
      </c>
      <c r="R30" s="13"/>
      <c r="S30" s="13"/>
      <c r="T30" s="13"/>
      <c r="U30" s="13"/>
      <c r="V30" s="13"/>
      <c r="W30" s="13"/>
      <c r="X30" s="13"/>
      <c r="Y30" s="13"/>
      <c r="Z30" s="13"/>
      <c r="AA30" s="13"/>
    </row>
    <row r="31" ht="15.75" customHeight="1">
      <c r="A31" s="13"/>
      <c r="B31" s="171"/>
      <c r="C31" s="337" t="s">
        <v>325</v>
      </c>
      <c r="D31" s="21"/>
      <c r="E31" s="338">
        <f t="shared" ref="E31:N31" si="23">SUM(E24:E30)</f>
        <v>588926.6079</v>
      </c>
      <c r="F31" s="338">
        <f t="shared" si="23"/>
        <v>606594.4062</v>
      </c>
      <c r="G31" s="338">
        <f t="shared" si="23"/>
        <v>624792.2383</v>
      </c>
      <c r="H31" s="338">
        <f t="shared" si="23"/>
        <v>643536.0055</v>
      </c>
      <c r="I31" s="338">
        <f t="shared" si="23"/>
        <v>662842.0857</v>
      </c>
      <c r="J31" s="338">
        <f t="shared" si="23"/>
        <v>682727.3482</v>
      </c>
      <c r="K31" s="338">
        <f t="shared" si="23"/>
        <v>703209.1687</v>
      </c>
      <c r="L31" s="338">
        <f t="shared" si="23"/>
        <v>724305.4437</v>
      </c>
      <c r="M31" s="338">
        <f t="shared" si="23"/>
        <v>746034.607</v>
      </c>
      <c r="N31" s="339">
        <f t="shared" si="23"/>
        <v>768415.6453</v>
      </c>
      <c r="O31" s="340"/>
      <c r="P31" s="341">
        <f t="shared" ref="P31:Q31" si="24">SUM(P24:P30)</f>
        <v>890804.3358</v>
      </c>
      <c r="Q31" s="339">
        <f t="shared" si="24"/>
        <v>1032686.372</v>
      </c>
      <c r="R31" s="13"/>
      <c r="S31" s="13"/>
      <c r="T31" s="13"/>
      <c r="U31" s="13"/>
      <c r="V31" s="13"/>
      <c r="W31" s="13"/>
      <c r="X31" s="13"/>
      <c r="Y31" s="13"/>
      <c r="Z31" s="13"/>
      <c r="AA31" s="13"/>
    </row>
    <row r="32" ht="15.75" customHeight="1">
      <c r="A32" s="13"/>
      <c r="B32" s="13"/>
      <c r="C32" s="13"/>
      <c r="D32" s="13"/>
      <c r="E32" s="322"/>
      <c r="F32" s="322"/>
      <c r="G32" s="322"/>
      <c r="H32" s="322"/>
      <c r="I32" s="322"/>
      <c r="J32" s="322"/>
      <c r="K32" s="322"/>
      <c r="L32" s="322"/>
      <c r="M32" s="322"/>
      <c r="N32" s="322"/>
      <c r="O32" s="322"/>
      <c r="P32" s="322"/>
      <c r="Q32" s="322"/>
      <c r="R32" s="13"/>
      <c r="S32" s="13"/>
      <c r="T32" s="13"/>
      <c r="U32" s="13"/>
      <c r="V32" s="13"/>
      <c r="W32" s="13"/>
      <c r="X32" s="13"/>
      <c r="Y32" s="13"/>
      <c r="Z32" s="13"/>
      <c r="AA32" s="13"/>
    </row>
    <row r="33" ht="15.75" customHeight="1">
      <c r="A33" s="13"/>
      <c r="B33" s="317" t="s">
        <v>326</v>
      </c>
      <c r="C33" s="318" t="s">
        <v>327</v>
      </c>
      <c r="D33" s="319"/>
      <c r="E33" s="343">
        <f t="shared" ref="E33:N33" si="25">E22-E31</f>
        <v>1137482.672</v>
      </c>
      <c r="F33" s="343">
        <f t="shared" si="25"/>
        <v>1154343.059</v>
      </c>
      <c r="G33" s="343">
        <f t="shared" si="25"/>
        <v>1171363.977</v>
      </c>
      <c r="H33" s="343">
        <f t="shared" si="25"/>
        <v>1188543.334</v>
      </c>
      <c r="I33" s="343">
        <f t="shared" si="25"/>
        <v>1205878.84</v>
      </c>
      <c r="J33" s="343">
        <f t="shared" si="25"/>
        <v>1223367.996</v>
      </c>
      <c r="K33" s="343">
        <f t="shared" si="25"/>
        <v>1241008.083</v>
      </c>
      <c r="L33" s="343">
        <f t="shared" si="25"/>
        <v>1258796.153</v>
      </c>
      <c r="M33" s="343">
        <f t="shared" si="25"/>
        <v>1276729.021</v>
      </c>
      <c r="N33" s="344">
        <f t="shared" si="25"/>
        <v>1294803.256</v>
      </c>
      <c r="O33" s="340"/>
      <c r="P33" s="345">
        <f t="shared" ref="P33:Q33" si="26">P22-P31</f>
        <v>1387156.045</v>
      </c>
      <c r="Q33" s="344">
        <f t="shared" si="26"/>
        <v>1482365.956</v>
      </c>
      <c r="R33" s="13"/>
      <c r="S33" s="13"/>
      <c r="T33" s="13"/>
      <c r="U33" s="13"/>
      <c r="V33" s="13"/>
      <c r="W33" s="13"/>
      <c r="X33" s="13"/>
      <c r="Y33" s="13"/>
      <c r="Z33" s="13"/>
      <c r="AA33" s="13"/>
    </row>
    <row r="34" ht="15.75" customHeight="1">
      <c r="A34" s="13"/>
      <c r="B34" s="168"/>
      <c r="C34" s="230"/>
      <c r="D34" s="13"/>
      <c r="E34" s="322"/>
      <c r="F34" s="322"/>
      <c r="G34" s="322"/>
      <c r="H34" s="322"/>
      <c r="I34" s="322"/>
      <c r="J34" s="322"/>
      <c r="K34" s="322"/>
      <c r="L34" s="322"/>
      <c r="M34" s="322"/>
      <c r="N34" s="325"/>
      <c r="O34" s="322"/>
      <c r="P34" s="324"/>
      <c r="Q34" s="325"/>
      <c r="R34" s="13"/>
      <c r="S34" s="13"/>
      <c r="T34" s="13"/>
      <c r="U34" s="13"/>
      <c r="V34" s="13"/>
      <c r="W34" s="13"/>
      <c r="X34" s="13"/>
      <c r="Y34" s="13"/>
      <c r="Z34" s="13"/>
      <c r="AA34" s="13"/>
    </row>
    <row r="35" ht="15.75" customHeight="1">
      <c r="A35" s="13"/>
      <c r="B35" s="168"/>
      <c r="C35" s="230" t="s">
        <v>82</v>
      </c>
      <c r="D35" s="13"/>
      <c r="E35" s="322">
        <f>-debtservtotal_two</f>
        <v>-708572.373</v>
      </c>
      <c r="F35" s="322">
        <f>-debtservtotal_two</f>
        <v>-708572.373</v>
      </c>
      <c r="G35" s="322">
        <f>-debtservtotal_two</f>
        <v>-708572.373</v>
      </c>
      <c r="H35" s="322">
        <f>-debtservtotal_two</f>
        <v>-708572.373</v>
      </c>
      <c r="I35" s="322">
        <f>-debtservtotal_two</f>
        <v>-708572.373</v>
      </c>
      <c r="J35" s="322">
        <f>-debtservtotal_two</f>
        <v>-708572.373</v>
      </c>
      <c r="K35" s="322">
        <f>-debtservtotal_two</f>
        <v>-708572.373</v>
      </c>
      <c r="L35" s="322">
        <f>-debtservtotal_two</f>
        <v>-708572.373</v>
      </c>
      <c r="M35" s="322">
        <f>-debtservtotal_two</f>
        <v>-708572.373</v>
      </c>
      <c r="N35" s="325">
        <f>-debtservtotal_two</f>
        <v>-708572.373</v>
      </c>
      <c r="O35" s="322"/>
      <c r="P35" s="324">
        <f>-debtservtotal_two</f>
        <v>-708572.373</v>
      </c>
      <c r="Q35" s="325">
        <f>-debtservtotal_two</f>
        <v>-708572.373</v>
      </c>
      <c r="R35" s="13"/>
      <c r="S35" s="13"/>
      <c r="T35" s="13"/>
      <c r="U35" s="13"/>
      <c r="V35" s="13"/>
      <c r="W35" s="13"/>
      <c r="X35" s="13"/>
      <c r="Y35" s="13"/>
      <c r="Z35" s="13"/>
      <c r="AA35" s="13"/>
    </row>
    <row r="36" ht="15.75" customHeight="1">
      <c r="A36" s="13"/>
      <c r="B36" s="168"/>
      <c r="C36" s="230" t="s">
        <v>328</v>
      </c>
      <c r="D36" s="13"/>
      <c r="E36" s="347">
        <f t="shared" ref="E36:N36" si="27">-E33/E35</f>
        <v>1.605316147</v>
      </c>
      <c r="F36" s="347">
        <f t="shared" si="27"/>
        <v>1.629111017</v>
      </c>
      <c r="G36" s="347">
        <f t="shared" si="27"/>
        <v>1.653132441</v>
      </c>
      <c r="H36" s="347">
        <f t="shared" si="27"/>
        <v>1.677377469</v>
      </c>
      <c r="I36" s="347">
        <f t="shared" si="27"/>
        <v>1.701842869</v>
      </c>
      <c r="J36" s="347">
        <f t="shared" si="27"/>
        <v>1.726525113</v>
      </c>
      <c r="K36" s="347">
        <f t="shared" si="27"/>
        <v>1.751420363</v>
      </c>
      <c r="L36" s="347">
        <f t="shared" si="27"/>
        <v>1.77652446</v>
      </c>
      <c r="M36" s="347">
        <f t="shared" si="27"/>
        <v>1.801832911</v>
      </c>
      <c r="N36" s="348">
        <f t="shared" si="27"/>
        <v>1.827340869</v>
      </c>
      <c r="O36" s="347"/>
      <c r="P36" s="349">
        <f t="shared" ref="P36:Q36" si="28">-P33/P35</f>
        <v>1.957677293</v>
      </c>
      <c r="Q36" s="348">
        <f t="shared" si="28"/>
        <v>2.092045939</v>
      </c>
      <c r="R36" s="13"/>
      <c r="S36" s="13"/>
      <c r="T36" s="13"/>
      <c r="U36" s="13"/>
      <c r="V36" s="13"/>
      <c r="W36" s="13"/>
      <c r="X36" s="13"/>
      <c r="Y36" s="13"/>
      <c r="Z36" s="13"/>
      <c r="AA36" s="13"/>
    </row>
    <row r="37" ht="15.75" customHeight="1">
      <c r="A37" s="13"/>
      <c r="B37" s="168"/>
      <c r="C37" s="285"/>
      <c r="D37" s="333"/>
      <c r="E37" s="334"/>
      <c r="F37" s="334"/>
      <c r="G37" s="334"/>
      <c r="H37" s="334"/>
      <c r="I37" s="334"/>
      <c r="J37" s="334"/>
      <c r="K37" s="334"/>
      <c r="L37" s="334"/>
      <c r="M37" s="334"/>
      <c r="N37" s="335"/>
      <c r="O37" s="322"/>
      <c r="P37" s="336"/>
      <c r="Q37" s="335"/>
      <c r="R37" s="13"/>
      <c r="S37" s="13"/>
      <c r="T37" s="13"/>
      <c r="U37" s="13"/>
      <c r="V37" s="13"/>
      <c r="W37" s="13"/>
      <c r="X37" s="13"/>
      <c r="Y37" s="13"/>
      <c r="Z37" s="13"/>
      <c r="AA37" s="13"/>
    </row>
    <row r="38" ht="15.75" customHeight="1">
      <c r="A38" s="13"/>
      <c r="B38" s="171"/>
      <c r="C38" s="337" t="s">
        <v>329</v>
      </c>
      <c r="D38" s="21"/>
      <c r="E38" s="338">
        <f t="shared" ref="E38:N38" si="29">E33+E35</f>
        <v>428910.299</v>
      </c>
      <c r="F38" s="338">
        <f t="shared" si="29"/>
        <v>445770.6864</v>
      </c>
      <c r="G38" s="338">
        <f t="shared" si="29"/>
        <v>462791.6035</v>
      </c>
      <c r="H38" s="338">
        <f t="shared" si="29"/>
        <v>479970.9607</v>
      </c>
      <c r="I38" s="338">
        <f t="shared" si="29"/>
        <v>497306.4673</v>
      </c>
      <c r="J38" s="338">
        <f t="shared" si="29"/>
        <v>514795.6232</v>
      </c>
      <c r="K38" s="338">
        <f t="shared" si="29"/>
        <v>532435.7097</v>
      </c>
      <c r="L38" s="338">
        <f t="shared" si="29"/>
        <v>550223.7797</v>
      </c>
      <c r="M38" s="338">
        <f t="shared" si="29"/>
        <v>568156.6483</v>
      </c>
      <c r="N38" s="339">
        <f t="shared" si="29"/>
        <v>586230.8826</v>
      </c>
      <c r="O38" s="340"/>
      <c r="P38" s="341">
        <f t="shared" ref="P38:Q38" si="30">P33+P35</f>
        <v>678583.6724</v>
      </c>
      <c r="Q38" s="339">
        <f t="shared" si="30"/>
        <v>773793.5826</v>
      </c>
      <c r="R38" s="13"/>
      <c r="S38" s="13"/>
      <c r="T38" s="13"/>
      <c r="U38" s="13"/>
      <c r="V38" s="13"/>
      <c r="W38" s="13"/>
      <c r="X38" s="13"/>
      <c r="Y38" s="13"/>
      <c r="Z38" s="13"/>
      <c r="AA38" s="13"/>
    </row>
    <row r="39" ht="15.75" customHeight="1">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row>
    <row r="40" ht="15.75" customHeight="1">
      <c r="A40" s="13"/>
      <c r="B40" s="351" t="s">
        <v>330</v>
      </c>
      <c r="C40" s="318" t="s">
        <v>331</v>
      </c>
      <c r="D40" s="319"/>
      <c r="E40" s="320">
        <f>MIN('Sources &amp; Uses (P2)'!$D$23/15,E38)</f>
        <v>89600</v>
      </c>
      <c r="F40" s="320">
        <f>MIN('Sources &amp; Uses (P2)'!$D$23/15,F38)</f>
        <v>89600</v>
      </c>
      <c r="G40" s="320">
        <f>MIN('Sources &amp; Uses (P2)'!$D$23/15,G38)</f>
        <v>89600</v>
      </c>
      <c r="H40" s="320">
        <f>MIN('Sources &amp; Uses (P2)'!$D$23/15,H38)</f>
        <v>89600</v>
      </c>
      <c r="I40" s="320">
        <f>MIN('Sources &amp; Uses (P2)'!$D$23/15,I38)</f>
        <v>89600</v>
      </c>
      <c r="J40" s="320">
        <f>MIN('Sources &amp; Uses (P2)'!$D$23/15,J38)</f>
        <v>89600</v>
      </c>
      <c r="K40" s="320">
        <f>MIN('Sources &amp; Uses (P2)'!$D$23/15,K38)</f>
        <v>89600</v>
      </c>
      <c r="L40" s="320">
        <f>MIN('Sources &amp; Uses (P2)'!$D$23/15,L38)</f>
        <v>89600</v>
      </c>
      <c r="M40" s="320">
        <f>MIN('Sources &amp; Uses (P2)'!$D$23/15,M38)</f>
        <v>89600</v>
      </c>
      <c r="N40" s="320">
        <f>MIN('Sources &amp; Uses (P2)'!$D$23/15,N38)</f>
        <v>89600</v>
      </c>
      <c r="O40" s="319"/>
      <c r="P40" s="320">
        <f>MIN(P38,N41-4*N40)</f>
        <v>89600</v>
      </c>
      <c r="Q40" s="321">
        <v>0.0</v>
      </c>
      <c r="R40" s="13"/>
      <c r="S40" s="13"/>
      <c r="T40" s="13"/>
      <c r="U40" s="13"/>
      <c r="V40" s="13"/>
      <c r="W40" s="13"/>
      <c r="X40" s="13"/>
      <c r="Y40" s="13"/>
      <c r="Z40" s="13"/>
      <c r="AA40" s="13"/>
    </row>
    <row r="41" ht="15.75" customHeight="1">
      <c r="A41" s="13"/>
      <c r="B41" s="346"/>
      <c r="C41" s="352" t="s">
        <v>332</v>
      </c>
      <c r="D41" s="333"/>
      <c r="E41" s="354">
        <f>'Sources &amp; Uses (P2)'!$D$23-'Cash Flow (P2)'!E40</f>
        <v>1254400</v>
      </c>
      <c r="F41" s="354">
        <f t="shared" ref="F41:N41" si="31">E41-F40</f>
        <v>1164800</v>
      </c>
      <c r="G41" s="354">
        <f t="shared" si="31"/>
        <v>1075200</v>
      </c>
      <c r="H41" s="354">
        <f t="shared" si="31"/>
        <v>985600</v>
      </c>
      <c r="I41" s="354">
        <f t="shared" si="31"/>
        <v>896000</v>
      </c>
      <c r="J41" s="354">
        <f t="shared" si="31"/>
        <v>806400</v>
      </c>
      <c r="K41" s="354">
        <f t="shared" si="31"/>
        <v>716800</v>
      </c>
      <c r="L41" s="354">
        <f t="shared" si="31"/>
        <v>627200</v>
      </c>
      <c r="M41" s="354">
        <f t="shared" si="31"/>
        <v>537600</v>
      </c>
      <c r="N41" s="354">
        <f t="shared" si="31"/>
        <v>448000</v>
      </c>
      <c r="O41" s="353"/>
      <c r="P41" s="354">
        <f>(N41-4*N40)-P40</f>
        <v>0</v>
      </c>
      <c r="Q41" s="355">
        <f>P41</f>
        <v>0</v>
      </c>
      <c r="R41" s="13"/>
      <c r="S41" s="58"/>
      <c r="T41" s="13"/>
      <c r="U41" s="13"/>
      <c r="V41" s="13"/>
      <c r="W41" s="13"/>
      <c r="X41" s="13"/>
      <c r="Y41" s="13"/>
      <c r="Z41" s="13"/>
      <c r="AA41" s="13"/>
    </row>
    <row r="42" ht="15.75" customHeight="1">
      <c r="A42" s="13"/>
      <c r="B42" s="346"/>
      <c r="C42" s="278" t="s">
        <v>594</v>
      </c>
      <c r="D42" s="15"/>
      <c r="E42" s="340">
        <f t="shared" ref="E42:N42" si="32">E38-E40</f>
        <v>339310.299</v>
      </c>
      <c r="F42" s="340">
        <f t="shared" si="32"/>
        <v>356170.6864</v>
      </c>
      <c r="G42" s="340">
        <f t="shared" si="32"/>
        <v>373191.6035</v>
      </c>
      <c r="H42" s="340">
        <f t="shared" si="32"/>
        <v>390370.9607</v>
      </c>
      <c r="I42" s="340">
        <f t="shared" si="32"/>
        <v>407706.4673</v>
      </c>
      <c r="J42" s="340">
        <f t="shared" si="32"/>
        <v>425195.6232</v>
      </c>
      <c r="K42" s="340">
        <f t="shared" si="32"/>
        <v>442835.7097</v>
      </c>
      <c r="L42" s="340">
        <f t="shared" si="32"/>
        <v>460623.7797</v>
      </c>
      <c r="M42" s="340">
        <f t="shared" si="32"/>
        <v>478556.6483</v>
      </c>
      <c r="N42" s="340">
        <f t="shared" si="32"/>
        <v>496630.8826</v>
      </c>
      <c r="O42" s="15"/>
      <c r="P42" s="340">
        <f t="shared" ref="P42:Q42" si="33">P38-P40</f>
        <v>588983.6724</v>
      </c>
      <c r="Q42" s="356">
        <f t="shared" si="33"/>
        <v>773793.5826</v>
      </c>
      <c r="R42" s="13"/>
      <c r="S42" s="13"/>
      <c r="T42" s="13"/>
      <c r="U42" s="13"/>
      <c r="V42" s="13"/>
      <c r="W42" s="13"/>
      <c r="X42" s="13"/>
      <c r="Y42" s="13"/>
      <c r="Z42" s="13"/>
      <c r="AA42" s="13"/>
    </row>
    <row r="43" ht="15.75" customHeight="1">
      <c r="A43" s="13"/>
      <c r="B43" s="346"/>
      <c r="C43" s="357" t="s">
        <v>333</v>
      </c>
      <c r="D43" s="358">
        <v>0.7</v>
      </c>
      <c r="E43" s="359">
        <f t="shared" ref="E43:N43" si="34">E$42*$D43</f>
        <v>237517.2093</v>
      </c>
      <c r="F43" s="359">
        <f t="shared" si="34"/>
        <v>249319.4805</v>
      </c>
      <c r="G43" s="359">
        <f t="shared" si="34"/>
        <v>261234.1225</v>
      </c>
      <c r="H43" s="359">
        <f t="shared" si="34"/>
        <v>273259.6725</v>
      </c>
      <c r="I43" s="359">
        <f t="shared" si="34"/>
        <v>285394.5271</v>
      </c>
      <c r="J43" s="359">
        <f t="shared" si="34"/>
        <v>297636.9363</v>
      </c>
      <c r="K43" s="359">
        <f t="shared" si="34"/>
        <v>309984.9968</v>
      </c>
      <c r="L43" s="359">
        <f t="shared" si="34"/>
        <v>322436.6458</v>
      </c>
      <c r="M43" s="359">
        <f t="shared" si="34"/>
        <v>334989.6538</v>
      </c>
      <c r="N43" s="359">
        <f t="shared" si="34"/>
        <v>347641.6178</v>
      </c>
      <c r="O43" s="95"/>
      <c r="P43" s="359">
        <f t="shared" ref="P43:Q43" si="35">P$42*$D43</f>
        <v>412288.5707</v>
      </c>
      <c r="Q43" s="360">
        <f t="shared" si="35"/>
        <v>541655.5078</v>
      </c>
      <c r="R43" s="13"/>
      <c r="S43" s="13"/>
      <c r="T43" s="13"/>
      <c r="U43" s="13"/>
      <c r="V43" s="13"/>
      <c r="W43" s="13"/>
      <c r="X43" s="13"/>
      <c r="Y43" s="13"/>
      <c r="Z43" s="13"/>
      <c r="AA43" s="13"/>
    </row>
    <row r="44" ht="15.75" customHeight="1">
      <c r="A44" s="13"/>
      <c r="B44" s="346"/>
      <c r="C44" s="357" t="s">
        <v>334</v>
      </c>
      <c r="D44" s="358">
        <v>0.25</v>
      </c>
      <c r="E44" s="359">
        <f t="shared" ref="E44:N44" si="36">E$42*$D44</f>
        <v>84827.57476</v>
      </c>
      <c r="F44" s="359">
        <f t="shared" si="36"/>
        <v>89042.6716</v>
      </c>
      <c r="G44" s="359">
        <f t="shared" si="36"/>
        <v>93297.90088</v>
      </c>
      <c r="H44" s="359">
        <f t="shared" si="36"/>
        <v>97592.74017</v>
      </c>
      <c r="I44" s="359">
        <f t="shared" si="36"/>
        <v>101926.6168</v>
      </c>
      <c r="J44" s="359">
        <f t="shared" si="36"/>
        <v>106298.9058</v>
      </c>
      <c r="K44" s="359">
        <f t="shared" si="36"/>
        <v>110708.9274</v>
      </c>
      <c r="L44" s="359">
        <f t="shared" si="36"/>
        <v>115155.9449</v>
      </c>
      <c r="M44" s="359">
        <f t="shared" si="36"/>
        <v>119639.1621</v>
      </c>
      <c r="N44" s="359">
        <f t="shared" si="36"/>
        <v>124157.7207</v>
      </c>
      <c r="O44" s="95"/>
      <c r="P44" s="359">
        <f t="shared" ref="P44:Q44" si="37">P$42*$D44</f>
        <v>147245.9181</v>
      </c>
      <c r="Q44" s="360">
        <f t="shared" si="37"/>
        <v>193448.3957</v>
      </c>
      <c r="R44" s="13"/>
      <c r="S44" s="13"/>
      <c r="T44" s="13"/>
      <c r="U44" s="13"/>
      <c r="V44" s="13"/>
      <c r="W44" s="13"/>
      <c r="X44" s="13"/>
      <c r="Y44" s="13"/>
      <c r="Z44" s="13"/>
      <c r="AA44" s="13"/>
    </row>
    <row r="45" ht="15.75" customHeight="1">
      <c r="A45" s="13"/>
      <c r="B45" s="350"/>
      <c r="C45" s="361" t="s">
        <v>335</v>
      </c>
      <c r="D45" s="362">
        <v>0.05</v>
      </c>
      <c r="E45" s="363">
        <f t="shared" ref="E45:N45" si="38">E$42*$D45</f>
        <v>16965.51495</v>
      </c>
      <c r="F45" s="363">
        <f t="shared" si="38"/>
        <v>17808.53432</v>
      </c>
      <c r="G45" s="363">
        <f t="shared" si="38"/>
        <v>18659.58018</v>
      </c>
      <c r="H45" s="363">
        <f t="shared" si="38"/>
        <v>19518.54803</v>
      </c>
      <c r="I45" s="363">
        <f t="shared" si="38"/>
        <v>20385.32336</v>
      </c>
      <c r="J45" s="363">
        <f t="shared" si="38"/>
        <v>21259.78116</v>
      </c>
      <c r="K45" s="363">
        <f t="shared" si="38"/>
        <v>22141.78548</v>
      </c>
      <c r="L45" s="363">
        <f t="shared" si="38"/>
        <v>23031.18898</v>
      </c>
      <c r="M45" s="363">
        <f t="shared" si="38"/>
        <v>23927.83241</v>
      </c>
      <c r="N45" s="363">
        <f t="shared" si="38"/>
        <v>24831.54413</v>
      </c>
      <c r="O45" s="364"/>
      <c r="P45" s="363">
        <f t="shared" ref="P45:Q45" si="39">P$42*$D45</f>
        <v>29449.18362</v>
      </c>
      <c r="Q45" s="365">
        <f t="shared" si="39"/>
        <v>38689.67913</v>
      </c>
      <c r="R45" s="13"/>
      <c r="S45" s="13"/>
      <c r="T45" s="13"/>
      <c r="U45" s="13"/>
      <c r="V45" s="13"/>
      <c r="W45" s="13"/>
      <c r="X45" s="13"/>
      <c r="Y45" s="13"/>
      <c r="Z45" s="13"/>
      <c r="AA45" s="13"/>
    </row>
    <row r="46" ht="15.75"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row>
    <row r="47" ht="15.75"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row>
    <row r="48" ht="15.75"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row>
    <row r="49" ht="15.7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row>
    <row r="50" ht="15.7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row>
    <row r="51" ht="15.7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row>
    <row r="52" ht="15.7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row>
    <row r="53" ht="15.7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row>
    <row r="54" ht="15.7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row>
    <row r="55" ht="15.7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5.7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5.7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5.7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5.75"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5.75"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5.7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5.7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5.75"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5.7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5.7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5.7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5.75"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5.75"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5.75"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5.75"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5.75"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5.7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5.7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5.7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5.7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5.7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5.75" customHeight="1">
      <c r="A79" s="13"/>
      <c r="B79" s="13"/>
      <c r="C79" s="57"/>
      <c r="D79" s="57"/>
      <c r="E79" s="13"/>
      <c r="F79" s="13"/>
      <c r="G79" s="13"/>
      <c r="H79" s="13"/>
      <c r="I79" s="13"/>
      <c r="J79" s="13"/>
      <c r="K79" s="13"/>
      <c r="L79" s="13"/>
      <c r="M79" s="13"/>
      <c r="N79" s="13"/>
      <c r="O79" s="13"/>
      <c r="P79" s="13"/>
      <c r="Q79" s="13"/>
      <c r="R79" s="13"/>
      <c r="S79" s="13"/>
      <c r="T79" s="13"/>
      <c r="U79" s="13"/>
      <c r="V79" s="13"/>
      <c r="W79" s="13"/>
      <c r="X79" s="13"/>
      <c r="Y79" s="13"/>
      <c r="Z79" s="13"/>
      <c r="AA79" s="13"/>
    </row>
    <row r="80" ht="15.7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5.7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5.7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5.7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5.7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5.7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5.7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5.7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5.7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5.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5.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5.7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5.7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5.7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5.7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5.7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5.7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5.7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5.7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5.7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5.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5.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5.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5.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5.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5.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5.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5.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5.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5.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5.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5.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5.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5.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5.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5.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5.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5.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5.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5.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5.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5.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5.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5.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5.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5.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5.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5.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row>
    <row r="223"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row>
    <row r="224"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row>
    <row r="225"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row>
    <row r="2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row>
    <row r="227"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row>
    <row r="228"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row>
    <row r="229"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row>
    <row r="230"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row>
    <row r="231"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row>
    <row r="232"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row>
    <row r="233"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row>
    <row r="234"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row>
    <row r="235"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row>
    <row r="23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row>
    <row r="237"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row>
    <row r="238"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row>
    <row r="239"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row>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B2:I2"/>
    <mergeCell ref="C4:E4"/>
    <mergeCell ref="B12:B22"/>
    <mergeCell ref="B24:B31"/>
    <mergeCell ref="B33:B38"/>
    <mergeCell ref="B40:B45"/>
  </mergeCells>
  <printOptions/>
  <pageMargins bottom="0.75" footer="0.0" header="0.0" left="0.7" right="0.7" top="0.75"/>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5E0B3"/>
    <pageSetUpPr/>
  </sheetPr>
  <sheetViews>
    <sheetView showGridLines="0" workbookViewId="0"/>
  </sheetViews>
  <sheetFormatPr customHeight="1" defaultColWidth="12.63" defaultRowHeight="15.0"/>
  <cols>
    <col customWidth="1" min="1" max="1" width="2.88"/>
    <col customWidth="1" min="2" max="2" width="10.63"/>
    <col customWidth="1" min="3" max="3" width="48.63"/>
    <col customWidth="1" min="4" max="4" width="19.13"/>
    <col customWidth="1" min="5" max="5" width="53.88"/>
    <col customWidth="1" min="6" max="6" width="10.63"/>
  </cols>
  <sheetData>
    <row r="2" ht="15.0" customHeight="1">
      <c r="C2" s="367" t="s">
        <v>379</v>
      </c>
      <c r="D2" s="367"/>
      <c r="E2" s="367"/>
    </row>
    <row r="3" ht="13.5" customHeight="1"/>
    <row r="4" ht="13.5" customHeight="1">
      <c r="C4" s="369" t="s">
        <v>537</v>
      </c>
      <c r="D4" s="370"/>
      <c r="E4" s="370"/>
    </row>
    <row r="5" ht="13.5" customHeight="1">
      <c r="C5" s="371"/>
      <c r="D5" s="371"/>
      <c r="E5" s="371" t="s">
        <v>338</v>
      </c>
    </row>
    <row r="6" ht="13.5" customHeight="1">
      <c r="C6" s="35" t="s">
        <v>381</v>
      </c>
      <c r="D6" s="380">
        <f>noi_two</f>
        <v>1137482.672</v>
      </c>
    </row>
    <row r="7" ht="13.5" customHeight="1">
      <c r="C7" s="35" t="s">
        <v>382</v>
      </c>
      <c r="D7" s="377">
        <v>1.175</v>
      </c>
      <c r="E7" s="35" t="s">
        <v>595</v>
      </c>
    </row>
    <row r="8" ht="13.5" customHeight="1">
      <c r="C8" s="35" t="s">
        <v>384</v>
      </c>
      <c r="D8" s="380">
        <f>D6/D7</f>
        <v>968070.3592</v>
      </c>
    </row>
    <row r="9" ht="13.5" customHeight="1"/>
    <row r="10" ht="13.5" customHeight="1">
      <c r="C10" s="35" t="s">
        <v>385</v>
      </c>
      <c r="D10" s="377">
        <v>35.0</v>
      </c>
      <c r="E10" s="35" t="s">
        <v>596</v>
      </c>
    </row>
    <row r="11" ht="13.5" customHeight="1">
      <c r="C11" s="35" t="s">
        <v>387</v>
      </c>
      <c r="D11" s="379">
        <v>0.063</v>
      </c>
      <c r="E11" s="35" t="s">
        <v>597</v>
      </c>
    </row>
    <row r="12" ht="13.5" customHeight="1">
      <c r="C12" s="371" t="s">
        <v>598</v>
      </c>
      <c r="D12" s="381">
        <f>PV(D11/12,D10*12,-D8/12)</f>
        <v>13662265.08</v>
      </c>
      <c r="E12" s="371"/>
    </row>
    <row r="13" ht="13.5" customHeight="1">
      <c r="C13" s="35" t="s">
        <v>599</v>
      </c>
      <c r="D13" s="397">
        <v>1.0E7</v>
      </c>
      <c r="E13" s="35" t="s">
        <v>596</v>
      </c>
    </row>
    <row r="14" ht="13.5" customHeight="1">
      <c r="C14" s="375" t="s">
        <v>388</v>
      </c>
      <c r="D14" s="376">
        <f>MIN(D12,D13)</f>
        <v>10000000</v>
      </c>
    </row>
    <row r="15" ht="13.5" customHeight="1"/>
    <row r="16" ht="13.5" customHeight="1"/>
    <row r="17" ht="13.5" customHeight="1"/>
    <row r="18" ht="13.5" customHeight="1">
      <c r="C18" s="367" t="s">
        <v>336</v>
      </c>
      <c r="D18" s="367"/>
      <c r="E18" s="367"/>
    </row>
    <row r="19" ht="13.5" customHeight="1">
      <c r="A19" s="35" t="s">
        <v>297</v>
      </c>
    </row>
    <row r="20" ht="13.5" customHeight="1">
      <c r="C20" s="369" t="s">
        <v>600</v>
      </c>
      <c r="D20" s="370"/>
      <c r="E20" s="370"/>
    </row>
    <row r="21" ht="13.5" customHeight="1">
      <c r="C21" s="371"/>
      <c r="D21" s="371"/>
      <c r="E21" s="371" t="s">
        <v>338</v>
      </c>
    </row>
    <row r="22" ht="13.5" customHeight="1">
      <c r="C22" s="35" t="s">
        <v>358</v>
      </c>
      <c r="D22" s="380">
        <f>'Sources &amp; Uses (P2)'!C54+'Sources &amp; Uses (P2)'!C64+'Sources &amp; Uses (P2)'!E54+'Sources &amp; Uses (P2)'!E64</f>
        <v>27536012.82</v>
      </c>
      <c r="E22" s="35" t="s">
        <v>359</v>
      </c>
    </row>
    <row r="23" ht="13.5" customHeight="1">
      <c r="C23" s="35" t="s">
        <v>360</v>
      </c>
      <c r="D23" s="378">
        <v>0.9</v>
      </c>
      <c r="E23" s="35" t="s">
        <v>361</v>
      </c>
    </row>
    <row r="24" ht="13.5" customHeight="1">
      <c r="C24" s="371" t="s">
        <v>362</v>
      </c>
      <c r="D24" s="381">
        <f>D23*D22</f>
        <v>24782411.54</v>
      </c>
      <c r="E24" s="371"/>
    </row>
    <row r="25" ht="13.5" customHeight="1">
      <c r="C25" s="375" t="s">
        <v>367</v>
      </c>
      <c r="D25" s="376">
        <f>D24</f>
        <v>24782411.54</v>
      </c>
    </row>
    <row r="26" ht="13.5" customHeight="1"/>
    <row r="27" ht="13.5" customHeight="1">
      <c r="C27" s="35" t="s">
        <v>344</v>
      </c>
      <c r="D27" s="377">
        <f>AVERAGE('Development Comps'!C8:F8)</f>
        <v>14.5</v>
      </c>
      <c r="E27" s="35" t="s">
        <v>345</v>
      </c>
    </row>
    <row r="28" ht="13.5" customHeight="1">
      <c r="C28" s="35" t="s">
        <v>346</v>
      </c>
      <c r="D28" s="378">
        <v>0.3</v>
      </c>
      <c r="E28" s="35" t="s">
        <v>347</v>
      </c>
    </row>
    <row r="29" ht="13.5" customHeight="1">
      <c r="C29" s="35" t="s">
        <v>601</v>
      </c>
      <c r="D29" s="450">
        <f>unit_two/'Development Comps'!G27</f>
        <v>13.83783784</v>
      </c>
      <c r="E29" s="35" t="s">
        <v>602</v>
      </c>
    </row>
    <row r="30" ht="13.5" customHeight="1">
      <c r="C30" s="35" t="s">
        <v>350</v>
      </c>
      <c r="D30" s="35">
        <f>ROUNDDOWN(D27*(1-D28)+D29,0)</f>
        <v>23</v>
      </c>
    </row>
    <row r="31" ht="13.5" customHeight="1">
      <c r="C31" s="35" t="s">
        <v>351</v>
      </c>
      <c r="D31" s="378">
        <v>0.45</v>
      </c>
    </row>
    <row r="32" ht="13.5" customHeight="1">
      <c r="C32" s="35" t="s">
        <v>352</v>
      </c>
      <c r="D32" s="379">
        <v>0.0854</v>
      </c>
      <c r="E32" s="35" t="s">
        <v>597</v>
      </c>
    </row>
    <row r="33" ht="13.5" customHeight="1">
      <c r="C33" s="35" t="s">
        <v>354</v>
      </c>
      <c r="D33" s="380">
        <f>D25*D31*(D32/12)*D27</f>
        <v>1150802.258</v>
      </c>
    </row>
    <row r="34" ht="13.5" customHeight="1">
      <c r="C34" s="371" t="s">
        <v>355</v>
      </c>
      <c r="D34" s="381">
        <f>D25*(D32/12)*D29</f>
        <v>2440554.027</v>
      </c>
      <c r="E34" s="371"/>
    </row>
    <row r="35" ht="13.5" customHeight="1">
      <c r="C35" s="375" t="s">
        <v>603</v>
      </c>
      <c r="D35" s="376">
        <f>SUM(D33:D34)</f>
        <v>3591356.285</v>
      </c>
    </row>
    <row r="36" ht="13.5" customHeight="1"/>
    <row r="37" ht="13.5" customHeight="1"/>
    <row r="38" ht="13.5" customHeight="1"/>
    <row r="39" ht="13.5" customHeight="1">
      <c r="C39" s="369" t="s">
        <v>369</v>
      </c>
      <c r="D39" s="370"/>
      <c r="E39" s="370"/>
    </row>
    <row r="40" ht="13.5" customHeight="1">
      <c r="C40" s="35"/>
    </row>
    <row r="41" ht="13.5" customHeight="1">
      <c r="C41" s="371"/>
      <c r="D41" s="371"/>
      <c r="E41" s="371" t="s">
        <v>338</v>
      </c>
    </row>
    <row r="42" ht="13.5" customHeight="1">
      <c r="C42" s="35" t="s">
        <v>106</v>
      </c>
      <c r="D42" s="380">
        <f>'Sources &amp; Uses (P2)'!C58</f>
        <v>276115.9446</v>
      </c>
    </row>
    <row r="43" ht="13.5" customHeight="1">
      <c r="C43" s="35" t="s">
        <v>117</v>
      </c>
      <c r="D43" s="380">
        <f>'Sources &amp; Uses (P2)'!C72</f>
        <v>75000</v>
      </c>
    </row>
    <row r="44" ht="13.5" customHeight="1">
      <c r="C44" s="371" t="s">
        <v>370</v>
      </c>
      <c r="D44" s="381">
        <f>SUM('Sources &amp; Uses (P2)'!C94:C97)</f>
        <v>39200</v>
      </c>
      <c r="E44" s="371"/>
    </row>
    <row r="45" ht="13.5" customHeight="1">
      <c r="C45" s="375" t="s">
        <v>371</v>
      </c>
      <c r="D45" s="376">
        <f>SUM(D42:D44)</f>
        <v>390315.9446</v>
      </c>
    </row>
    <row r="46" ht="13.5" customHeight="1"/>
    <row r="47" ht="13.5" customHeight="1">
      <c r="C47" s="375" t="s">
        <v>372</v>
      </c>
      <c r="D47" s="376">
        <f>D45</f>
        <v>390315.9446</v>
      </c>
    </row>
    <row r="48" ht="13.5" customHeight="1">
      <c r="C48" s="35" t="s">
        <v>373</v>
      </c>
      <c r="D48" s="377">
        <v>12.0</v>
      </c>
      <c r="E48" s="35" t="s">
        <v>604</v>
      </c>
    </row>
    <row r="49" ht="13.5" customHeight="1">
      <c r="C49" s="35" t="s">
        <v>375</v>
      </c>
      <c r="D49" s="378">
        <v>0.05</v>
      </c>
      <c r="E49" s="35" t="s">
        <v>604</v>
      </c>
    </row>
    <row r="50" ht="13.5" customHeight="1">
      <c r="C50" s="375" t="s">
        <v>376</v>
      </c>
      <c r="D50" s="376">
        <f>D47*D49/12*D48</f>
        <v>19515.79723</v>
      </c>
    </row>
    <row r="51" ht="13.5" customHeight="1"/>
    <row r="52" ht="13.5" customHeight="1">
      <c r="C52" s="35" t="s">
        <v>377</v>
      </c>
      <c r="D52" s="378">
        <v>0.01</v>
      </c>
      <c r="E52" s="35" t="s">
        <v>604</v>
      </c>
    </row>
    <row r="53" ht="13.5" customHeight="1">
      <c r="C53" s="375" t="s">
        <v>378</v>
      </c>
      <c r="D53" s="376">
        <f>D52*D47</f>
        <v>3903.159446</v>
      </c>
    </row>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5E0B3"/>
    <pageSetUpPr/>
  </sheetPr>
  <sheetViews>
    <sheetView showGridLines="0" workbookViewId="0">
      <pane ySplit="3.0" topLeftCell="A4" activePane="bottomLeft" state="frozen"/>
      <selection activeCell="B5" sqref="B5" pane="bottomLeft"/>
    </sheetView>
  </sheetViews>
  <sheetFormatPr customHeight="1" defaultColWidth="12.63" defaultRowHeight="15.0"/>
  <cols>
    <col customWidth="1" min="1" max="2" width="2.63"/>
    <col customWidth="1" min="3" max="3" width="64.63"/>
    <col customWidth="1" min="4" max="4" width="14.38"/>
    <col customWidth="1" min="5" max="5" width="77.88"/>
    <col customWidth="1" min="6" max="7" width="7.63"/>
    <col customWidth="1" min="8" max="8" width="12.13"/>
    <col customWidth="1" min="9" max="9" width="7.63"/>
  </cols>
  <sheetData>
    <row r="1">
      <c r="C1" s="36" t="s">
        <v>301</v>
      </c>
      <c r="D1" s="37"/>
      <c r="E1" s="37"/>
    </row>
    <row r="2" ht="15.0" customHeight="1">
      <c r="C2" s="35"/>
      <c r="G2" s="39" t="s">
        <v>44</v>
      </c>
      <c r="H2" s="39"/>
    </row>
    <row r="3" ht="15.0" customHeight="1">
      <c r="B3" s="375" t="s">
        <v>398</v>
      </c>
      <c r="C3" s="375"/>
      <c r="D3" s="391" t="s">
        <v>399</v>
      </c>
      <c r="E3" s="375" t="s">
        <v>400</v>
      </c>
    </row>
    <row r="4" ht="15.0" customHeight="1">
      <c r="B4" s="369" t="s">
        <v>401</v>
      </c>
      <c r="C4" s="369"/>
      <c r="D4" s="370"/>
      <c r="E4" s="370"/>
    </row>
    <row r="5" ht="15.0" customHeight="1">
      <c r="B5" s="392"/>
      <c r="C5" s="393" t="s">
        <v>402</v>
      </c>
      <c r="D5" s="392"/>
      <c r="E5" s="392"/>
    </row>
    <row r="6" ht="15.0" customHeight="1">
      <c r="B6" s="371"/>
      <c r="C6" s="371" t="s">
        <v>605</v>
      </c>
      <c r="D6" s="371"/>
      <c r="E6" s="371"/>
    </row>
    <row r="7" ht="15.0" customHeight="1">
      <c r="C7" s="394" t="s">
        <v>606</v>
      </c>
      <c r="D7" s="377">
        <v>1657.0</v>
      </c>
      <c r="E7" s="35" t="s">
        <v>607</v>
      </c>
    </row>
    <row r="8" ht="15.0" customHeight="1">
      <c r="C8" s="394" t="s">
        <v>420</v>
      </c>
      <c r="D8" s="377">
        <v>1775.0</v>
      </c>
      <c r="E8" s="35" t="s">
        <v>607</v>
      </c>
    </row>
    <row r="9" ht="15.0" customHeight="1">
      <c r="C9" s="394" t="s">
        <v>422</v>
      </c>
      <c r="D9" s="377">
        <v>2130.0</v>
      </c>
      <c r="E9" s="35" t="s">
        <v>607</v>
      </c>
    </row>
    <row r="10" ht="15.0" customHeight="1">
      <c r="C10" s="394" t="s">
        <v>579</v>
      </c>
      <c r="D10" s="377">
        <v>2461.0</v>
      </c>
      <c r="E10" s="35" t="s">
        <v>607</v>
      </c>
    </row>
    <row r="11" ht="15.0" customHeight="1">
      <c r="C11" s="394"/>
      <c r="E11" s="35"/>
    </row>
    <row r="12" ht="15.0" customHeight="1">
      <c r="B12" s="371"/>
      <c r="C12" s="371" t="s">
        <v>608</v>
      </c>
      <c r="D12" s="371"/>
      <c r="E12" s="371"/>
    </row>
    <row r="13" ht="15.0" customHeight="1">
      <c r="C13" s="451">
        <v>0.3</v>
      </c>
      <c r="D13" s="383">
        <f t="shared" ref="D13:D16" si="1">C13/$C$15</f>
        <v>0.375</v>
      </c>
      <c r="E13" s="35"/>
    </row>
    <row r="14" ht="15.0" customHeight="1">
      <c r="C14" s="451">
        <v>0.5</v>
      </c>
      <c r="D14" s="383">
        <f t="shared" si="1"/>
        <v>0.625</v>
      </c>
      <c r="E14" s="35"/>
      <c r="I14" s="58"/>
    </row>
    <row r="15" ht="15.0" customHeight="1">
      <c r="C15" s="451">
        <v>0.8</v>
      </c>
      <c r="D15" s="383">
        <f t="shared" si="1"/>
        <v>1</v>
      </c>
      <c r="E15" s="35"/>
    </row>
    <row r="16" ht="15.0" customHeight="1">
      <c r="C16" s="451">
        <v>1.0</v>
      </c>
      <c r="D16" s="383">
        <f t="shared" si="1"/>
        <v>1.25</v>
      </c>
      <c r="E16" s="35"/>
    </row>
    <row r="17" ht="15.0" customHeight="1">
      <c r="C17" s="394"/>
      <c r="E17" s="35"/>
    </row>
    <row r="18" ht="15.0" customHeight="1">
      <c r="B18" s="371"/>
      <c r="C18" s="395" t="s">
        <v>609</v>
      </c>
      <c r="D18" s="371"/>
      <c r="E18" s="371"/>
    </row>
    <row r="19" ht="15.0" customHeight="1">
      <c r="C19" s="394" t="s">
        <v>606</v>
      </c>
      <c r="D19" s="377">
        <f>ROUND(1195*1.1,0)</f>
        <v>1315</v>
      </c>
      <c r="E19" s="35"/>
    </row>
    <row r="20" ht="15.0" customHeight="1">
      <c r="C20" s="394" t="s">
        <v>420</v>
      </c>
      <c r="D20" s="377">
        <f>ROUND(1250*1.1,0)</f>
        <v>1375</v>
      </c>
      <c r="E20" s="35"/>
    </row>
    <row r="21" ht="15.0" customHeight="1">
      <c r="C21" s="394" t="s">
        <v>422</v>
      </c>
      <c r="D21" s="377">
        <f>ROUND(1500*1.1,0)</f>
        <v>1650</v>
      </c>
      <c r="E21" s="35"/>
    </row>
    <row r="22" ht="15.0" customHeight="1">
      <c r="C22" s="394" t="s">
        <v>579</v>
      </c>
      <c r="D22" s="377">
        <f>ROUND(1850*1.1,0)</f>
        <v>2035</v>
      </c>
      <c r="E22" s="35"/>
    </row>
    <row r="23" ht="15.0" customHeight="1">
      <c r="C23" s="394"/>
      <c r="D23" s="35"/>
      <c r="E23" s="35"/>
    </row>
    <row r="24" ht="15.0" customHeight="1">
      <c r="B24" s="371"/>
      <c r="C24" s="395" t="s">
        <v>408</v>
      </c>
      <c r="D24" s="371"/>
      <c r="E24" s="371"/>
    </row>
    <row r="25" ht="15.0" customHeight="1">
      <c r="B25" s="35"/>
      <c r="C25" s="394" t="s">
        <v>610</v>
      </c>
      <c r="D25" s="377">
        <v>496.0</v>
      </c>
      <c r="E25" s="35"/>
    </row>
    <row r="26" ht="15.0" customHeight="1">
      <c r="C26" s="394" t="s">
        <v>409</v>
      </c>
      <c r="D26" s="377">
        <v>650.0</v>
      </c>
      <c r="E26" s="35"/>
    </row>
    <row r="27" ht="15.0" customHeight="1">
      <c r="C27" s="394" t="s">
        <v>410</v>
      </c>
      <c r="D27" s="377">
        <v>960.0</v>
      </c>
      <c r="E27" s="35"/>
    </row>
    <row r="28" ht="15.0" customHeight="1">
      <c r="C28" s="394" t="s">
        <v>611</v>
      </c>
      <c r="D28" s="377">
        <v>960.0</v>
      </c>
      <c r="E28" s="35"/>
    </row>
    <row r="29" ht="15.75" customHeight="1"/>
    <row r="30" ht="15.0" customHeight="1">
      <c r="B30" s="371"/>
      <c r="C30" s="371" t="s">
        <v>419</v>
      </c>
      <c r="D30" s="371"/>
      <c r="E30" s="371"/>
    </row>
    <row r="31" ht="15.0" customHeight="1">
      <c r="B31" s="35"/>
      <c r="C31" s="35" t="s">
        <v>606</v>
      </c>
      <c r="D31" s="397">
        <f t="array" ref="D31:D34">TRANSPOSE('DCHA Utility Allowances'!C19:F19)</f>
        <v>52</v>
      </c>
      <c r="E31" s="35" t="s">
        <v>421</v>
      </c>
    </row>
    <row r="32" ht="15.0" customHeight="1">
      <c r="C32" s="394" t="s">
        <v>420</v>
      </c>
      <c r="D32" s="397">
        <v>59.0</v>
      </c>
      <c r="E32" s="35" t="s">
        <v>421</v>
      </c>
    </row>
    <row r="33" ht="15.0" customHeight="1">
      <c r="C33" s="394" t="s">
        <v>422</v>
      </c>
      <c r="D33" s="397">
        <v>75.0</v>
      </c>
      <c r="E33" s="35" t="s">
        <v>421</v>
      </c>
    </row>
    <row r="34" ht="15.0" customHeight="1">
      <c r="C34" s="394" t="s">
        <v>579</v>
      </c>
      <c r="D34" s="397">
        <v>91.0</v>
      </c>
      <c r="E34" s="35" t="s">
        <v>421</v>
      </c>
    </row>
    <row r="35" ht="15.0" customHeight="1">
      <c r="C35" s="394"/>
      <c r="D35" s="380"/>
      <c r="E35" s="35"/>
    </row>
    <row r="36" ht="15.0" customHeight="1">
      <c r="B36" s="371"/>
      <c r="C36" s="395" t="s">
        <v>423</v>
      </c>
      <c r="D36" s="381"/>
      <c r="E36" s="371"/>
    </row>
    <row r="37" ht="15.0" customHeight="1">
      <c r="C37" s="394" t="s">
        <v>424</v>
      </c>
      <c r="D37" s="378">
        <v>0.07</v>
      </c>
      <c r="E37" s="35" t="s">
        <v>425</v>
      </c>
    </row>
    <row r="38" ht="15.0" customHeight="1">
      <c r="C38" s="394"/>
      <c r="D38" s="380"/>
    </row>
    <row r="39" ht="15.0" customHeight="1">
      <c r="B39" s="392"/>
      <c r="C39" s="398" t="s">
        <v>321</v>
      </c>
      <c r="D39" s="399"/>
      <c r="E39" s="392"/>
    </row>
    <row r="40" ht="15.0" customHeight="1">
      <c r="C40" s="394" t="s">
        <v>426</v>
      </c>
      <c r="D40" s="397">
        <v>5.0</v>
      </c>
    </row>
    <row r="41" ht="15.0" customHeight="1">
      <c r="C41" s="394"/>
      <c r="D41" s="380"/>
    </row>
    <row r="42" ht="15.75" customHeight="1"/>
    <row r="43" ht="15.0" customHeight="1">
      <c r="B43" s="392"/>
      <c r="C43" s="393" t="s">
        <v>182</v>
      </c>
      <c r="D43" s="392"/>
      <c r="E43" s="392"/>
    </row>
    <row r="44" ht="15.75" customHeight="1">
      <c r="B44" s="371"/>
      <c r="C44" s="371" t="s">
        <v>259</v>
      </c>
      <c r="D44" s="371"/>
      <c r="E44" s="371"/>
    </row>
    <row r="45" ht="15.75" customHeight="1">
      <c r="C45" s="394" t="s">
        <v>429</v>
      </c>
      <c r="D45" s="378">
        <v>0.05</v>
      </c>
      <c r="E45" s="35" t="s">
        <v>430</v>
      </c>
    </row>
    <row r="46" ht="15.75" customHeight="1">
      <c r="C46" s="35" t="s">
        <v>264</v>
      </c>
      <c r="D46" s="397">
        <v>80000.0</v>
      </c>
      <c r="E46" s="35" t="s">
        <v>431</v>
      </c>
    </row>
    <row r="47" ht="15.75" customHeight="1">
      <c r="C47" s="35" t="s">
        <v>265</v>
      </c>
      <c r="D47" s="397">
        <v>10000.0</v>
      </c>
      <c r="E47" s="35" t="s">
        <v>430</v>
      </c>
    </row>
    <row r="48" ht="15.75" customHeight="1">
      <c r="C48" s="35" t="s">
        <v>266</v>
      </c>
      <c r="D48" s="397">
        <v>10000.0</v>
      </c>
      <c r="E48" s="35" t="s">
        <v>430</v>
      </c>
    </row>
    <row r="49" ht="15.75" customHeight="1">
      <c r="C49" s="35" t="s">
        <v>267</v>
      </c>
      <c r="D49" s="397">
        <v>5000.0</v>
      </c>
      <c r="E49" s="35" t="s">
        <v>430</v>
      </c>
    </row>
    <row r="50" ht="15.75" customHeight="1">
      <c r="C50" s="35" t="s">
        <v>432</v>
      </c>
      <c r="D50" s="397">
        <f>'OpEx Comps'!N12</f>
        <v>150.8064516</v>
      </c>
      <c r="E50" s="35" t="s">
        <v>430</v>
      </c>
    </row>
    <row r="51" ht="15.75" customHeight="1"/>
    <row r="52" ht="15.75" customHeight="1">
      <c r="B52" s="371"/>
      <c r="C52" s="371" t="s">
        <v>270</v>
      </c>
      <c r="D52" s="371"/>
      <c r="E52" s="371"/>
    </row>
    <row r="53" ht="15.75" customHeight="1">
      <c r="C53" s="394" t="s">
        <v>433</v>
      </c>
      <c r="D53" s="397">
        <v>300.0</v>
      </c>
      <c r="E53" s="35" t="s">
        <v>430</v>
      </c>
    </row>
    <row r="54" ht="15.75" customHeight="1">
      <c r="C54" s="394" t="s">
        <v>434</v>
      </c>
      <c r="D54" s="378">
        <v>0.4</v>
      </c>
      <c r="E54" s="35" t="s">
        <v>347</v>
      </c>
    </row>
    <row r="55" ht="15.75" customHeight="1">
      <c r="C55" s="394" t="s">
        <v>435</v>
      </c>
      <c r="D55" s="397">
        <v>400.0</v>
      </c>
      <c r="E55" s="35" t="s">
        <v>430</v>
      </c>
    </row>
    <row r="56" ht="15.75" customHeight="1">
      <c r="C56" s="394" t="s">
        <v>436</v>
      </c>
      <c r="D56" s="378">
        <v>0.8</v>
      </c>
      <c r="E56" s="35" t="s">
        <v>347</v>
      </c>
    </row>
    <row r="57" ht="15.75" customHeight="1">
      <c r="C57" s="35" t="s">
        <v>437</v>
      </c>
      <c r="D57" s="397">
        <v>0.0</v>
      </c>
      <c r="E57" s="35" t="s">
        <v>438</v>
      </c>
    </row>
    <row r="58" ht="15.75" customHeight="1"/>
    <row r="59" ht="15.75" customHeight="1">
      <c r="B59" s="371"/>
      <c r="C59" s="371" t="s">
        <v>275</v>
      </c>
      <c r="D59" s="371"/>
      <c r="E59" s="371"/>
    </row>
    <row r="60" ht="15.75" customHeight="1">
      <c r="C60" s="35" t="s">
        <v>439</v>
      </c>
      <c r="D60" s="397">
        <v>70000.0</v>
      </c>
      <c r="E60" s="35" t="s">
        <v>612</v>
      </c>
    </row>
    <row r="61" ht="15.75" customHeight="1">
      <c r="C61" s="35" t="s">
        <v>441</v>
      </c>
      <c r="D61" s="397">
        <v>60.0</v>
      </c>
      <c r="E61" s="35" t="s">
        <v>430</v>
      </c>
    </row>
    <row r="62" ht="15.75" customHeight="1">
      <c r="C62" s="35" t="s">
        <v>442</v>
      </c>
      <c r="D62" s="397">
        <v>30.0</v>
      </c>
      <c r="E62" s="35" t="s">
        <v>430</v>
      </c>
    </row>
    <row r="63" ht="15.75" customHeight="1">
      <c r="C63" s="35" t="s">
        <v>443</v>
      </c>
      <c r="D63" s="397">
        <v>300.0</v>
      </c>
      <c r="E63" s="35" t="s">
        <v>430</v>
      </c>
    </row>
    <row r="64" ht="15.75" customHeight="1">
      <c r="C64" s="35" t="s">
        <v>444</v>
      </c>
      <c r="D64" s="397">
        <v>30.0</v>
      </c>
      <c r="E64" s="35" t="s">
        <v>430</v>
      </c>
    </row>
    <row r="65" ht="15.75" customHeight="1">
      <c r="C65" s="35" t="s">
        <v>445</v>
      </c>
      <c r="D65" s="397">
        <v>60.0</v>
      </c>
      <c r="E65" s="35" t="s">
        <v>430</v>
      </c>
    </row>
    <row r="66" ht="15.75" customHeight="1">
      <c r="C66" s="35" t="s">
        <v>446</v>
      </c>
      <c r="D66" s="397">
        <v>60.0</v>
      </c>
      <c r="E66" s="35" t="s">
        <v>430</v>
      </c>
    </row>
    <row r="67" ht="15.75" customHeight="1">
      <c r="C67" s="35" t="s">
        <v>447</v>
      </c>
      <c r="D67" s="397">
        <v>30.0</v>
      </c>
      <c r="E67" s="35" t="s">
        <v>430</v>
      </c>
    </row>
    <row r="68" ht="15.75" customHeight="1">
      <c r="C68" s="35" t="s">
        <v>448</v>
      </c>
      <c r="D68" s="397">
        <v>25.0</v>
      </c>
      <c r="E68" s="35" t="s">
        <v>449</v>
      </c>
    </row>
    <row r="69" ht="15.75" customHeight="1"/>
    <row r="70" ht="15.75" customHeight="1">
      <c r="B70" s="371"/>
      <c r="C70" s="371" t="s">
        <v>286</v>
      </c>
      <c r="D70" s="371"/>
      <c r="E70" s="371"/>
    </row>
    <row r="71" ht="15.75" customHeight="1">
      <c r="B71" s="35"/>
      <c r="C71" s="35" t="s">
        <v>613</v>
      </c>
      <c r="D71" s="389">
        <v>0.061</v>
      </c>
      <c r="E71" s="35" t="s">
        <v>614</v>
      </c>
    </row>
    <row r="72" ht="15.75" customHeight="1">
      <c r="B72" s="35"/>
      <c r="C72" s="35" t="s">
        <v>381</v>
      </c>
      <c r="D72" s="397">
        <f>noi_two</f>
        <v>1137482.672</v>
      </c>
      <c r="E72" s="35"/>
    </row>
    <row r="73" ht="15.75" customHeight="1">
      <c r="B73" s="35"/>
      <c r="C73" s="35" t="s">
        <v>452</v>
      </c>
      <c r="D73" s="380">
        <f>D72/D71</f>
        <v>18647256.92</v>
      </c>
      <c r="E73" s="35"/>
      <c r="H73" s="372"/>
    </row>
    <row r="74" ht="15.75" customHeight="1">
      <c r="B74" s="35"/>
      <c r="C74" s="35" t="s">
        <v>453</v>
      </c>
      <c r="D74" s="400">
        <v>0.018278463</v>
      </c>
      <c r="E74" s="35" t="s">
        <v>454</v>
      </c>
    </row>
    <row r="75" ht="15.75" customHeight="1">
      <c r="B75" s="35"/>
      <c r="C75" s="35" t="s">
        <v>455</v>
      </c>
      <c r="D75" s="380">
        <f>D74*D73</f>
        <v>340843.1957</v>
      </c>
      <c r="E75" s="35"/>
    </row>
    <row r="76" ht="15.75" customHeight="1">
      <c r="C76" s="35" t="s">
        <v>287</v>
      </c>
      <c r="D76" s="397">
        <v>120412.0</v>
      </c>
      <c r="E76" s="35" t="s">
        <v>456</v>
      </c>
    </row>
    <row r="77" ht="15.75" customHeight="1">
      <c r="C77" s="35" t="s">
        <v>56</v>
      </c>
      <c r="D77" s="397">
        <v>0.0</v>
      </c>
    </row>
    <row r="78" ht="15.75" customHeight="1"/>
    <row r="79" ht="15.75" customHeight="1">
      <c r="B79" s="371"/>
      <c r="C79" s="371" t="s">
        <v>290</v>
      </c>
      <c r="D79" s="371"/>
      <c r="E79" s="371"/>
    </row>
    <row r="80" ht="15.75" customHeight="1">
      <c r="C80" s="394" t="s">
        <v>457</v>
      </c>
      <c r="D80" s="397">
        <f>'OpEx Comps'!N16</f>
        <v>196.9602978</v>
      </c>
      <c r="E80" s="35" t="s">
        <v>430</v>
      </c>
    </row>
    <row r="81" ht="15.75" customHeight="1">
      <c r="C81" s="35" t="s">
        <v>458</v>
      </c>
      <c r="D81" s="397">
        <v>30.0</v>
      </c>
      <c r="E81" s="35" t="s">
        <v>459</v>
      </c>
    </row>
    <row r="82" ht="15.75" customHeight="1"/>
    <row r="83" ht="15.75" customHeight="1">
      <c r="B83" s="371"/>
      <c r="C83" s="371" t="s">
        <v>293</v>
      </c>
      <c r="D83" s="371"/>
      <c r="E83" s="371"/>
    </row>
    <row r="84" ht="15.75" customHeight="1">
      <c r="C84" s="35" t="s">
        <v>293</v>
      </c>
      <c r="D84" s="397">
        <v>10000.0</v>
      </c>
      <c r="E84" s="35" t="s">
        <v>615</v>
      </c>
    </row>
    <row r="85" ht="15.75" customHeight="1">
      <c r="C85" s="35" t="s">
        <v>463</v>
      </c>
      <c r="D85" s="397">
        <v>1000.0</v>
      </c>
      <c r="E85" s="35" t="s">
        <v>464</v>
      </c>
    </row>
    <row r="86" ht="15.75" customHeight="1"/>
    <row r="87" ht="15.75" customHeight="1">
      <c r="B87" s="371"/>
      <c r="C87" s="371" t="s">
        <v>141</v>
      </c>
      <c r="D87" s="371"/>
      <c r="E87" s="371"/>
    </row>
    <row r="88" ht="15.75" customHeight="1">
      <c r="C88" s="394" t="s">
        <v>465</v>
      </c>
      <c r="D88" s="397">
        <v>300.0</v>
      </c>
      <c r="E88" s="35" t="s">
        <v>616</v>
      </c>
    </row>
    <row r="89" ht="15.75" customHeight="1"/>
    <row r="90" ht="15.75" customHeight="1"/>
    <row r="91" ht="15.75" customHeight="1">
      <c r="B91" s="369" t="s">
        <v>467</v>
      </c>
      <c r="C91" s="370"/>
      <c r="D91" s="370"/>
      <c r="E91" s="370"/>
    </row>
    <row r="92" ht="15.75" customHeight="1">
      <c r="B92" s="392"/>
      <c r="C92" s="393" t="s">
        <v>468</v>
      </c>
      <c r="D92" s="392"/>
      <c r="E92" s="392"/>
    </row>
    <row r="93" ht="15.75" customHeight="1">
      <c r="B93" s="371"/>
      <c r="C93" s="371" t="s">
        <v>47</v>
      </c>
      <c r="D93" s="371"/>
      <c r="E93" s="371"/>
    </row>
    <row r="94" ht="15.75" customHeight="1">
      <c r="C94" s="35" t="s">
        <v>469</v>
      </c>
      <c r="D94" s="397">
        <v>0.0</v>
      </c>
      <c r="E94" s="35" t="s">
        <v>470</v>
      </c>
    </row>
    <row r="95" ht="15.75" customHeight="1">
      <c r="C95" s="35" t="s">
        <v>471</v>
      </c>
      <c r="D95" s="397">
        <v>0.0</v>
      </c>
      <c r="E95" s="35" t="s">
        <v>470</v>
      </c>
    </row>
    <row r="96" ht="15.75" customHeight="1">
      <c r="C96" s="35"/>
      <c r="D96" s="380"/>
      <c r="E96" s="35"/>
    </row>
    <row r="97" ht="15.75" customHeight="1">
      <c r="B97" s="371"/>
      <c r="C97" s="371" t="s">
        <v>49</v>
      </c>
      <c r="D97" s="381"/>
      <c r="E97" s="371"/>
    </row>
    <row r="98" ht="15.75" customHeight="1">
      <c r="B98" s="35"/>
      <c r="C98" s="35" t="s">
        <v>617</v>
      </c>
      <c r="D98" s="452">
        <f>48000*2</f>
        <v>96000</v>
      </c>
      <c r="E98" s="35" t="s">
        <v>618</v>
      </c>
    </row>
    <row r="99" ht="15.75" customHeight="1">
      <c r="B99" s="35"/>
      <c r="C99" s="35" t="s">
        <v>619</v>
      </c>
      <c r="D99" s="397">
        <v>12.0</v>
      </c>
      <c r="E99" s="35" t="s">
        <v>620</v>
      </c>
    </row>
    <row r="100" ht="15.75" customHeight="1">
      <c r="B100" s="35"/>
      <c r="C100" s="35" t="s">
        <v>621</v>
      </c>
      <c r="D100" s="378">
        <v>0.5</v>
      </c>
      <c r="E100" s="35"/>
    </row>
    <row r="101" ht="15.75" customHeight="1">
      <c r="C101" s="394" t="s">
        <v>472</v>
      </c>
      <c r="D101" s="397">
        <f>MEDIAN('Development Comps'!C25:F25)</f>
        <v>175000</v>
      </c>
      <c r="E101" s="401" t="s">
        <v>473</v>
      </c>
    </row>
    <row r="102" ht="15.75" customHeight="1">
      <c r="C102" s="394" t="s">
        <v>622</v>
      </c>
      <c r="D102" s="402">
        <v>0.075</v>
      </c>
      <c r="E102" s="401" t="s">
        <v>507</v>
      </c>
    </row>
    <row r="103" ht="15.75" customHeight="1">
      <c r="C103" s="394" t="s">
        <v>474</v>
      </c>
      <c r="D103" s="402">
        <f>(301.21/291.13)-1</f>
        <v>0.03462370762</v>
      </c>
      <c r="E103" s="401" t="s">
        <v>475</v>
      </c>
    </row>
    <row r="104" ht="15.75" customHeight="1">
      <c r="C104" s="394" t="s">
        <v>476</v>
      </c>
      <c r="D104" s="378">
        <v>0.1</v>
      </c>
      <c r="E104" s="401" t="s">
        <v>477</v>
      </c>
    </row>
    <row r="105" ht="15.75" customHeight="1">
      <c r="C105" s="394" t="s">
        <v>478</v>
      </c>
      <c r="D105" s="378">
        <v>0.05</v>
      </c>
      <c r="E105" s="35" t="s">
        <v>479</v>
      </c>
    </row>
    <row r="106" ht="15.75" customHeight="1">
      <c r="C106" s="394" t="s">
        <v>480</v>
      </c>
      <c r="D106" s="378">
        <v>0.05</v>
      </c>
      <c r="E106" s="35" t="s">
        <v>479</v>
      </c>
    </row>
    <row r="107" ht="15.75" customHeight="1">
      <c r="C107" s="394" t="s">
        <v>481</v>
      </c>
      <c r="D107" s="378">
        <v>0.02</v>
      </c>
      <c r="E107" s="35" t="s">
        <v>479</v>
      </c>
    </row>
    <row r="108" ht="15.75" customHeight="1">
      <c r="A108" s="453"/>
      <c r="B108" s="453"/>
      <c r="C108" s="394" t="s">
        <v>623</v>
      </c>
      <c r="D108" s="397">
        <v>500000.0</v>
      </c>
      <c r="E108" s="35" t="s">
        <v>624</v>
      </c>
      <c r="F108" s="453"/>
      <c r="G108" s="453"/>
      <c r="I108" s="453"/>
      <c r="J108" s="453"/>
      <c r="K108" s="453"/>
      <c r="L108" s="453"/>
      <c r="M108" s="453"/>
      <c r="N108" s="453"/>
      <c r="O108" s="453"/>
      <c r="P108" s="453"/>
      <c r="Q108" s="453"/>
      <c r="R108" s="453"/>
      <c r="S108" s="453"/>
      <c r="T108" s="453"/>
      <c r="U108" s="453"/>
      <c r="V108" s="453"/>
      <c r="W108" s="453"/>
      <c r="X108" s="453"/>
      <c r="Y108" s="453"/>
      <c r="Z108" s="453"/>
    </row>
    <row r="109" ht="15.75" customHeight="1">
      <c r="C109" s="394" t="s">
        <v>482</v>
      </c>
      <c r="D109" s="378">
        <v>0.03</v>
      </c>
      <c r="E109" s="35" t="s">
        <v>483</v>
      </c>
    </row>
    <row r="110" ht="15.75" customHeight="1"/>
    <row r="111" ht="15.75" customHeight="1">
      <c r="B111" s="371"/>
      <c r="C111" s="395" t="s">
        <v>101</v>
      </c>
      <c r="D111" s="381"/>
      <c r="E111" s="371"/>
    </row>
    <row r="112" ht="15.75" customHeight="1">
      <c r="B112" s="35"/>
      <c r="C112" s="394" t="s">
        <v>484</v>
      </c>
      <c r="D112" s="403">
        <v>36165.0</v>
      </c>
      <c r="E112" s="35" t="s">
        <v>485</v>
      </c>
    </row>
    <row r="113" ht="15.75" customHeight="1">
      <c r="B113" s="35"/>
      <c r="C113" s="394" t="s">
        <v>486</v>
      </c>
      <c r="D113" s="404">
        <v>0.8</v>
      </c>
      <c r="E113" s="35" t="s">
        <v>487</v>
      </c>
    </row>
    <row r="114" ht="15.75" customHeight="1">
      <c r="B114" s="35"/>
      <c r="C114" s="394" t="s">
        <v>488</v>
      </c>
      <c r="D114" s="405">
        <v>15.0</v>
      </c>
      <c r="E114" s="35" t="s">
        <v>489</v>
      </c>
    </row>
    <row r="115" ht="15.75" customHeight="1">
      <c r="B115" s="35"/>
      <c r="C115" s="394" t="s">
        <v>490</v>
      </c>
      <c r="D115" s="35">
        <f>D112*D113*D114/1000</f>
        <v>433.98</v>
      </c>
      <c r="E115" s="35"/>
    </row>
    <row r="116" ht="15.75" customHeight="1">
      <c r="B116" s="35"/>
      <c r="C116" s="394" t="s">
        <v>491</v>
      </c>
      <c r="D116" s="397">
        <f>230000/135</f>
        <v>1703.703704</v>
      </c>
      <c r="E116" s="35" t="s">
        <v>492</v>
      </c>
    </row>
    <row r="117" ht="15.75" customHeight="1">
      <c r="C117" s="394" t="s">
        <v>493</v>
      </c>
      <c r="D117" s="380">
        <f>D115*D116</f>
        <v>739373.3333</v>
      </c>
      <c r="E117" s="35"/>
    </row>
    <row r="118" ht="15.75" customHeight="1">
      <c r="C118" s="394"/>
      <c r="D118" s="380"/>
      <c r="E118" s="35"/>
    </row>
    <row r="119" ht="15.75" customHeight="1">
      <c r="C119" s="394" t="s">
        <v>625</v>
      </c>
      <c r="D119" s="382">
        <v>33000.0</v>
      </c>
      <c r="E119" s="35" t="s">
        <v>626</v>
      </c>
    </row>
    <row r="120" ht="15.75" customHeight="1">
      <c r="C120" s="394" t="s">
        <v>627</v>
      </c>
      <c r="D120" s="382">
        <v>185.0</v>
      </c>
      <c r="E120" s="35" t="s">
        <v>626</v>
      </c>
    </row>
    <row r="121" ht="15.75" customHeight="1">
      <c r="C121" s="394" t="s">
        <v>628</v>
      </c>
      <c r="D121" s="382">
        <v>50000.0</v>
      </c>
      <c r="E121" s="35" t="s">
        <v>626</v>
      </c>
    </row>
    <row r="122" ht="15.75" customHeight="1">
      <c r="C122" s="394" t="s">
        <v>629</v>
      </c>
      <c r="D122" s="380">
        <f>MIN(D119+D120*(D115-300),D121)</f>
        <v>50000</v>
      </c>
      <c r="E122" s="35"/>
    </row>
    <row r="123" ht="15.75" customHeight="1"/>
    <row r="124" ht="15.75" customHeight="1">
      <c r="B124" s="371"/>
      <c r="C124" s="395" t="s">
        <v>494</v>
      </c>
      <c r="D124" s="406"/>
      <c r="E124" s="371"/>
      <c r="K124" s="401"/>
    </row>
    <row r="125" ht="15.75" customHeight="1">
      <c r="C125" s="394" t="s">
        <v>495</v>
      </c>
      <c r="D125" s="402">
        <f>'Development Comps'!M56*(2/3)</f>
        <v>0.01017853059</v>
      </c>
      <c r="E125" s="35" t="s">
        <v>630</v>
      </c>
    </row>
    <row r="126" ht="15.75" customHeight="1">
      <c r="C126" s="394" t="s">
        <v>497</v>
      </c>
      <c r="D126" s="402">
        <f>'Development Comps'!M57</f>
        <v>0.002079227248</v>
      </c>
      <c r="E126" s="35" t="s">
        <v>496</v>
      </c>
    </row>
    <row r="127" ht="15.75" customHeight="1">
      <c r="C127" s="394" t="s">
        <v>498</v>
      </c>
      <c r="D127" s="402">
        <f>'Development Comps'!M58</f>
        <v>0.002809116163</v>
      </c>
      <c r="E127" s="35" t="s">
        <v>496</v>
      </c>
    </row>
    <row r="128" ht="15.75" customHeight="1">
      <c r="C128" s="394"/>
      <c r="D128" s="407" t="s">
        <v>297</v>
      </c>
    </row>
    <row r="129" ht="15.75" customHeight="1">
      <c r="B129" s="371"/>
      <c r="C129" s="371" t="s">
        <v>499</v>
      </c>
      <c r="D129" s="371"/>
      <c r="E129" s="371"/>
    </row>
    <row r="130" ht="15.75" customHeight="1">
      <c r="C130" s="35" t="s">
        <v>500</v>
      </c>
      <c r="D130" s="379">
        <v>0.01</v>
      </c>
      <c r="E130" s="35" t="s">
        <v>501</v>
      </c>
    </row>
    <row r="131" ht="15.75" customHeight="1">
      <c r="C131" s="35" t="s">
        <v>114</v>
      </c>
      <c r="D131" s="397">
        <f>'Loan Sizing (P2)'!D35</f>
        <v>3591356.285</v>
      </c>
      <c r="E131" s="35" t="s">
        <v>631</v>
      </c>
    </row>
    <row r="132" ht="15.75" customHeight="1">
      <c r="C132" s="35" t="s">
        <v>505</v>
      </c>
      <c r="D132" s="379">
        <f>'Development Comps'!M62</f>
        <v>0.003326556861</v>
      </c>
      <c r="E132" s="35" t="s">
        <v>496</v>
      </c>
    </row>
    <row r="133" ht="15.75" customHeight="1">
      <c r="C133" s="35" t="s">
        <v>506</v>
      </c>
      <c r="D133" s="379">
        <v>0.0</v>
      </c>
      <c r="E133" s="35" t="s">
        <v>464</v>
      </c>
    </row>
    <row r="134" ht="15.75" customHeight="1">
      <c r="C134" s="35" t="s">
        <v>117</v>
      </c>
      <c r="D134" s="397">
        <f>'Development Comps'!C81</f>
        <v>75000</v>
      </c>
      <c r="E134" s="35" t="s">
        <v>464</v>
      </c>
    </row>
    <row r="135" ht="15.75" customHeight="1">
      <c r="C135" s="35" t="s">
        <v>118</v>
      </c>
      <c r="D135" s="397">
        <f>'Development Comps'!L65*unit_two</f>
        <v>63325.06203</v>
      </c>
      <c r="E135" s="35" t="s">
        <v>507</v>
      </c>
    </row>
    <row r="136" ht="15.75" customHeight="1">
      <c r="C136" s="377" t="s">
        <v>508</v>
      </c>
      <c r="D136" s="397">
        <v>20000.0</v>
      </c>
    </row>
    <row r="137" ht="15.75" customHeight="1">
      <c r="C137" s="377" t="s">
        <v>509</v>
      </c>
      <c r="D137" s="397">
        <f>20000</f>
        <v>20000</v>
      </c>
      <c r="E137" s="35" t="s">
        <v>501</v>
      </c>
    </row>
    <row r="138" ht="15.75" customHeight="1">
      <c r="C138" s="377" t="s">
        <v>510</v>
      </c>
      <c r="D138" s="397">
        <f>500</f>
        <v>500</v>
      </c>
      <c r="E138" s="35" t="s">
        <v>501</v>
      </c>
    </row>
    <row r="139" ht="15.75" customHeight="1">
      <c r="C139" s="377" t="s">
        <v>511</v>
      </c>
      <c r="D139" s="397">
        <f>'Development Comps'!L66*unit_two</f>
        <v>147051.5295</v>
      </c>
      <c r="E139" s="35" t="s">
        <v>507</v>
      </c>
    </row>
    <row r="140" ht="15.75" customHeight="1"/>
    <row r="141" ht="15.75" customHeight="1">
      <c r="B141" s="371"/>
      <c r="C141" s="371" t="s">
        <v>512</v>
      </c>
      <c r="D141" s="371"/>
      <c r="E141" s="371"/>
    </row>
    <row r="142" ht="15.75" customHeight="1">
      <c r="C142" s="35" t="s">
        <v>513</v>
      </c>
      <c r="D142" s="379">
        <v>0.015</v>
      </c>
      <c r="E142" s="35" t="s">
        <v>596</v>
      </c>
    </row>
    <row r="143" ht="15.75" customHeight="1">
      <c r="C143" s="35" t="s">
        <v>120</v>
      </c>
      <c r="D143" s="397">
        <f>MIN(55*unit_two,5000)</f>
        <v>5000</v>
      </c>
      <c r="E143" s="35" t="s">
        <v>459</v>
      </c>
    </row>
    <row r="144" ht="15.75" customHeight="1">
      <c r="C144" s="35" t="s">
        <v>514</v>
      </c>
      <c r="D144" s="379">
        <v>0.05</v>
      </c>
      <c r="E144" s="35" t="s">
        <v>459</v>
      </c>
    </row>
    <row r="145" ht="15.75" customHeight="1">
      <c r="C145" s="35" t="s">
        <v>515</v>
      </c>
      <c r="D145" s="379">
        <v>0.025</v>
      </c>
      <c r="E145" s="35" t="s">
        <v>459</v>
      </c>
    </row>
    <row r="146" ht="15.75" customHeight="1">
      <c r="C146" s="35" t="s">
        <v>122</v>
      </c>
      <c r="D146" s="397">
        <v>2500.0</v>
      </c>
      <c r="E146" s="35" t="s">
        <v>459</v>
      </c>
    </row>
    <row r="147" ht="15.75" customHeight="1">
      <c r="C147" s="35" t="s">
        <v>516</v>
      </c>
      <c r="D147" s="397">
        <v>50000.0</v>
      </c>
      <c r="E147" s="35" t="s">
        <v>517</v>
      </c>
    </row>
    <row r="148" ht="15.75" customHeight="1">
      <c r="C148" s="35" t="s">
        <v>125</v>
      </c>
      <c r="D148" s="397">
        <f>'Development Comps'!K87</f>
        <v>32500</v>
      </c>
      <c r="E148" s="35" t="s">
        <v>496</v>
      </c>
    </row>
    <row r="149" ht="15.75" customHeight="1">
      <c r="C149" s="35" t="s">
        <v>126</v>
      </c>
      <c r="D149" s="397">
        <v>10000.0</v>
      </c>
      <c r="E149" s="35" t="s">
        <v>517</v>
      </c>
    </row>
    <row r="150" ht="15.75" customHeight="1">
      <c r="C150" s="35" t="s">
        <v>127</v>
      </c>
      <c r="D150" s="397">
        <v>20000.0</v>
      </c>
      <c r="E150" s="35" t="s">
        <v>517</v>
      </c>
    </row>
    <row r="151" ht="15.75" customHeight="1">
      <c r="C151" s="35" t="s">
        <v>519</v>
      </c>
      <c r="D151" s="378">
        <v>0.05</v>
      </c>
      <c r="E151" s="35" t="s">
        <v>464</v>
      </c>
    </row>
    <row r="152" ht="15.75" customHeight="1">
      <c r="C152" s="377" t="s">
        <v>520</v>
      </c>
      <c r="D152" s="397">
        <v>20000.0</v>
      </c>
      <c r="E152" s="35" t="s">
        <v>632</v>
      </c>
    </row>
    <row r="153" ht="15.75" customHeight="1">
      <c r="C153" s="377" t="s">
        <v>521</v>
      </c>
      <c r="D153" s="397">
        <v>500.0</v>
      </c>
      <c r="E153" s="35" t="s">
        <v>632</v>
      </c>
    </row>
    <row r="154" ht="15.75" customHeight="1">
      <c r="C154" s="377" t="s">
        <v>522</v>
      </c>
      <c r="D154" s="397">
        <v>600.0</v>
      </c>
      <c r="E154" s="35" t="s">
        <v>459</v>
      </c>
    </row>
    <row r="155" ht="15.75" customHeight="1"/>
    <row r="156" ht="15.75" customHeight="1">
      <c r="B156" s="371"/>
      <c r="C156" s="371" t="s">
        <v>53</v>
      </c>
      <c r="D156" s="371"/>
      <c r="E156" s="371"/>
    </row>
    <row r="157" ht="15.75" customHeight="1">
      <c r="C157" s="35" t="s">
        <v>130</v>
      </c>
      <c r="D157" s="397">
        <f>'Development Comps'!K77</f>
        <v>8750</v>
      </c>
      <c r="E157" s="35" t="s">
        <v>496</v>
      </c>
    </row>
    <row r="158" ht="15.75" customHeight="1">
      <c r="C158" s="35" t="s">
        <v>131</v>
      </c>
      <c r="D158" s="397">
        <f>'Development Comps'!K78</f>
        <v>7250</v>
      </c>
      <c r="E158" s="35" t="s">
        <v>496</v>
      </c>
    </row>
    <row r="159" ht="15.75" customHeight="1">
      <c r="C159" s="35" t="s">
        <v>132</v>
      </c>
      <c r="D159" s="397">
        <f>'Development Comps'!K79</f>
        <v>12500</v>
      </c>
      <c r="E159" s="35" t="s">
        <v>496</v>
      </c>
    </row>
    <row r="160" ht="15.75" customHeight="1">
      <c r="C160" s="35" t="s">
        <v>133</v>
      </c>
      <c r="D160" s="397">
        <f>'Development Comps'!K80</f>
        <v>10700</v>
      </c>
      <c r="E160" s="35" t="s">
        <v>496</v>
      </c>
    </row>
    <row r="161" ht="15.75" customHeight="1">
      <c r="C161" s="35" t="s">
        <v>523</v>
      </c>
      <c r="D161" s="397">
        <v>0.0</v>
      </c>
      <c r="E161" s="35" t="s">
        <v>633</v>
      </c>
    </row>
    <row r="162" ht="15.75" customHeight="1">
      <c r="C162" s="35" t="s">
        <v>135</v>
      </c>
      <c r="D162" s="397">
        <f>'Development Comps'!K91</f>
        <v>97500</v>
      </c>
      <c r="E162" s="35" t="s">
        <v>496</v>
      </c>
    </row>
    <row r="163" ht="15.75" customHeight="1">
      <c r="C163" s="35" t="s">
        <v>136</v>
      </c>
      <c r="D163" s="397">
        <f>'Development Comps'!K86</f>
        <v>37437.5</v>
      </c>
      <c r="E163" s="35" t="s">
        <v>496</v>
      </c>
    </row>
    <row r="164" ht="15.75" customHeight="1">
      <c r="C164" s="35" t="s">
        <v>634</v>
      </c>
      <c r="D164" s="397">
        <v>0.0</v>
      </c>
    </row>
    <row r="165" ht="15.75" customHeight="1">
      <c r="C165" s="394" t="s">
        <v>524</v>
      </c>
      <c r="D165" s="397">
        <v>20000.0</v>
      </c>
    </row>
    <row r="166" ht="15.75" customHeight="1">
      <c r="C166" s="394" t="s">
        <v>525</v>
      </c>
      <c r="D166" s="397">
        <v>15000.0</v>
      </c>
    </row>
    <row r="167" ht="15.75" customHeight="1">
      <c r="C167" s="394" t="s">
        <v>526</v>
      </c>
      <c r="D167" s="397">
        <v>15000.0</v>
      </c>
    </row>
    <row r="168" ht="15.75" customHeight="1"/>
    <row r="169" ht="15.75" customHeight="1">
      <c r="B169" s="371"/>
      <c r="C169" s="371" t="s">
        <v>54</v>
      </c>
      <c r="D169" s="371"/>
      <c r="E169" s="371"/>
    </row>
    <row r="170" ht="15.75" customHeight="1">
      <c r="C170" s="35" t="s">
        <v>527</v>
      </c>
      <c r="D170" s="397">
        <v>21000.0</v>
      </c>
      <c r="E170" s="35" t="s">
        <v>528</v>
      </c>
    </row>
    <row r="171" ht="15.75" customHeight="1">
      <c r="C171" s="35" t="s">
        <v>102</v>
      </c>
      <c r="D171" s="397">
        <v>0.0</v>
      </c>
    </row>
    <row r="172" ht="15.0" customHeight="1">
      <c r="D172" s="408"/>
      <c r="E172" s="380"/>
    </row>
    <row r="173" ht="15.75" customHeight="1">
      <c r="B173" s="371"/>
      <c r="C173" s="371" t="s">
        <v>55</v>
      </c>
      <c r="D173" s="371"/>
      <c r="E173" s="371"/>
    </row>
    <row r="174" ht="15.75" customHeight="1">
      <c r="C174" s="35" t="s">
        <v>529</v>
      </c>
      <c r="D174" s="377">
        <v>6.0</v>
      </c>
      <c r="E174" s="35" t="s">
        <v>479</v>
      </c>
    </row>
    <row r="175" ht="15.75" customHeight="1">
      <c r="C175" s="35" t="s">
        <v>530</v>
      </c>
      <c r="D175" s="397">
        <f>D88</f>
        <v>300</v>
      </c>
      <c r="E175" s="35" t="s">
        <v>466</v>
      </c>
    </row>
    <row r="176" ht="15.75" customHeight="1">
      <c r="C176" s="35" t="s">
        <v>531</v>
      </c>
      <c r="D176" s="377">
        <v>3.0</v>
      </c>
    </row>
    <row r="177" ht="15.75" customHeight="1">
      <c r="C177" s="35" t="s">
        <v>532</v>
      </c>
      <c r="D177" s="377">
        <v>3.0</v>
      </c>
    </row>
    <row r="178" ht="15.75" customHeight="1">
      <c r="C178" s="35" t="s">
        <v>635</v>
      </c>
      <c r="D178" s="377">
        <v>3.0</v>
      </c>
      <c r="E178" s="35"/>
    </row>
    <row r="179" ht="15.75" customHeight="1">
      <c r="C179" s="35" t="s">
        <v>534</v>
      </c>
      <c r="D179" s="397">
        <v>0.0</v>
      </c>
      <c r="E179" s="35" t="s">
        <v>636</v>
      </c>
    </row>
    <row r="180" ht="15.75" customHeight="1">
      <c r="C180" s="35" t="s">
        <v>102</v>
      </c>
      <c r="D180" s="397">
        <v>0.0</v>
      </c>
    </row>
    <row r="181" ht="15.75" customHeight="1">
      <c r="C181" s="35" t="s">
        <v>102</v>
      </c>
      <c r="D181" s="397">
        <v>0.0</v>
      </c>
    </row>
    <row r="182" ht="15.75" customHeight="1">
      <c r="C182" s="35" t="s">
        <v>102</v>
      </c>
      <c r="D182" s="397">
        <v>0.0</v>
      </c>
    </row>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E1"/>
  </mergeCells>
  <printOptions/>
  <pageMargins bottom="0.75" footer="0.0" header="0.0" left="0.7" right="0.7" top="0.75"/>
  <pageSetup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5"/>
    <pageSetUpPr/>
  </sheetPr>
  <sheetViews>
    <sheetView workbookViewId="0"/>
  </sheetViews>
  <sheetFormatPr customHeight="1" defaultColWidth="12.63" defaultRowHeight="15.0"/>
  <cols>
    <col customWidth="1" min="1" max="9" width="10.63"/>
  </cols>
  <sheetData>
    <row r="1" ht="13.5" customHeight="1"/>
    <row r="2" ht="13.5" customHeight="1">
      <c r="B2" s="35" t="s">
        <v>42</v>
      </c>
    </row>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c r="I14" s="58"/>
    </row>
    <row r="15" ht="13.5" customHeight="1">
      <c r="I15" s="35"/>
    </row>
    <row r="16" ht="13.5" customHeight="1">
      <c r="I16" s="35"/>
    </row>
    <row r="17" ht="13.5" customHeight="1">
      <c r="I17" s="35"/>
    </row>
    <row r="18" ht="13.5" customHeight="1">
      <c r="I18" s="35"/>
    </row>
    <row r="19" ht="13.5" customHeight="1">
      <c r="I19" s="35"/>
    </row>
    <row r="20" ht="13.5" customHeight="1">
      <c r="I20" s="35"/>
    </row>
    <row r="21" ht="13.5" customHeight="1">
      <c r="I21" s="35"/>
    </row>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7CAAC"/>
    <pageSetUpPr/>
  </sheetPr>
  <sheetViews>
    <sheetView workbookViewId="0"/>
  </sheetViews>
  <sheetFormatPr customHeight="1" defaultColWidth="12.63" defaultRowHeight="15.0"/>
  <cols>
    <col customWidth="1" min="1" max="1" width="2.63"/>
    <col customWidth="1" min="2" max="2" width="42.63"/>
    <col customWidth="1" min="3" max="7" width="20.63"/>
    <col customWidth="1" min="8" max="8" width="14.88"/>
    <col customWidth="1" min="9" max="9" width="14.38"/>
    <col customWidth="1" min="10" max="10" width="15.13"/>
    <col customWidth="1" min="11" max="26" width="8.0"/>
  </cols>
  <sheetData>
    <row r="1" ht="9.0" customHeight="1">
      <c r="A1" s="13"/>
      <c r="B1" s="13"/>
      <c r="C1" s="34"/>
      <c r="D1" s="13"/>
      <c r="E1" s="13"/>
      <c r="F1" s="13"/>
      <c r="G1" s="13"/>
      <c r="H1" s="13"/>
      <c r="I1" s="13"/>
      <c r="J1" s="13"/>
      <c r="K1" s="13"/>
      <c r="L1" s="13"/>
      <c r="M1" s="13"/>
      <c r="N1" s="13"/>
      <c r="O1" s="13"/>
      <c r="P1" s="13"/>
      <c r="Q1" s="13"/>
      <c r="R1" s="13"/>
      <c r="S1" s="13"/>
      <c r="T1" s="13"/>
      <c r="U1" s="13"/>
      <c r="V1" s="13"/>
      <c r="W1" s="13"/>
      <c r="X1" s="13"/>
      <c r="Y1" s="13"/>
      <c r="Z1" s="13"/>
    </row>
    <row r="2">
      <c r="A2" s="13"/>
      <c r="B2" s="36" t="s">
        <v>43</v>
      </c>
      <c r="C2" s="37"/>
      <c r="D2" s="37"/>
      <c r="E2" s="37"/>
      <c r="F2" s="37"/>
      <c r="G2" s="37"/>
      <c r="H2" s="38"/>
      <c r="I2" s="39" t="s">
        <v>44</v>
      </c>
      <c r="J2" s="39"/>
      <c r="K2" s="13"/>
      <c r="L2" s="13"/>
      <c r="M2" s="13"/>
      <c r="N2" s="13"/>
      <c r="O2" s="13"/>
      <c r="P2" s="13"/>
      <c r="Q2" s="13"/>
      <c r="R2" s="13"/>
      <c r="S2" s="13"/>
      <c r="T2" s="13"/>
      <c r="U2" s="13"/>
      <c r="V2" s="13"/>
      <c r="W2" s="13"/>
      <c r="X2" s="13"/>
      <c r="Y2" s="13"/>
      <c r="Z2" s="13"/>
    </row>
    <row r="3">
      <c r="A3" s="13"/>
      <c r="B3" s="13"/>
      <c r="C3" s="34"/>
      <c r="D3" s="13"/>
      <c r="E3" s="13"/>
      <c r="F3" s="13"/>
      <c r="G3" s="13"/>
      <c r="H3" s="13"/>
      <c r="I3" s="13"/>
      <c r="J3" s="13"/>
      <c r="K3" s="13"/>
      <c r="L3" s="13"/>
      <c r="M3" s="13"/>
      <c r="N3" s="13"/>
      <c r="O3" s="13"/>
      <c r="P3" s="13"/>
      <c r="Q3" s="13"/>
      <c r="R3" s="13"/>
      <c r="S3" s="13"/>
      <c r="T3" s="13"/>
      <c r="U3" s="13"/>
      <c r="V3" s="13"/>
      <c r="W3" s="13"/>
      <c r="X3" s="13"/>
      <c r="Y3" s="13"/>
      <c r="Z3" s="13"/>
    </row>
    <row r="4">
      <c r="A4" s="13"/>
      <c r="B4" s="40" t="s">
        <v>45</v>
      </c>
      <c r="C4" s="41"/>
      <c r="D4" s="42" t="s">
        <v>46</v>
      </c>
      <c r="E4" s="41"/>
      <c r="F4" s="13"/>
      <c r="G4" s="13"/>
      <c r="H4" s="13"/>
      <c r="I4" s="13"/>
      <c r="J4" s="13"/>
      <c r="K4" s="13"/>
      <c r="L4" s="13"/>
      <c r="M4" s="13"/>
      <c r="N4" s="13"/>
      <c r="O4" s="13"/>
      <c r="P4" s="13"/>
      <c r="Q4" s="13"/>
      <c r="R4" s="13"/>
      <c r="S4" s="13"/>
      <c r="T4" s="13"/>
      <c r="U4" s="13"/>
      <c r="V4" s="13"/>
      <c r="W4" s="13"/>
      <c r="X4" s="13"/>
      <c r="Y4" s="13"/>
      <c r="Z4" s="13"/>
    </row>
    <row r="5">
      <c r="A5" s="13"/>
      <c r="B5" s="43" t="str">
        <f t="shared" ref="B5:B14" si="1">B20</f>
        <v>WHEDA Tax Credit Permanent Financing Loan</v>
      </c>
      <c r="C5" s="44">
        <f t="shared" ref="C5:C14" si="2">D20</f>
        <v>3673566.687</v>
      </c>
      <c r="D5" s="45" t="s">
        <v>47</v>
      </c>
      <c r="E5" s="46">
        <f>C44</f>
        <v>0</v>
      </c>
      <c r="F5" s="47"/>
      <c r="G5" s="48"/>
      <c r="H5" s="35"/>
      <c r="I5" s="13"/>
      <c r="J5" s="13"/>
      <c r="K5" s="13"/>
      <c r="L5" s="13"/>
      <c r="M5" s="13"/>
      <c r="N5" s="13"/>
      <c r="O5" s="13"/>
      <c r="P5" s="13"/>
      <c r="Q5" s="13"/>
      <c r="R5" s="13"/>
      <c r="S5" s="13"/>
      <c r="T5" s="13"/>
      <c r="U5" s="13"/>
      <c r="V5" s="13"/>
      <c r="W5" s="13"/>
      <c r="X5" s="13"/>
      <c r="Y5" s="13"/>
      <c r="Z5" s="13"/>
    </row>
    <row r="6">
      <c r="A6" s="13"/>
      <c r="B6" s="43" t="str">
        <f t="shared" si="1"/>
        <v>Federal Tax Credit Equity (9%)</v>
      </c>
      <c r="C6" s="44">
        <f t="shared" si="2"/>
        <v>9876168.112</v>
      </c>
      <c r="D6" s="49" t="s">
        <v>49</v>
      </c>
      <c r="E6" s="50">
        <f>C53</f>
        <v>12731096.84</v>
      </c>
      <c r="F6" s="13"/>
      <c r="G6" s="58" t="s">
        <v>637</v>
      </c>
      <c r="H6" s="13"/>
      <c r="I6" s="13"/>
      <c r="J6" s="13"/>
      <c r="K6" s="13"/>
      <c r="L6" s="13"/>
      <c r="M6" s="13"/>
      <c r="N6" s="13"/>
      <c r="O6" s="13"/>
      <c r="P6" s="13"/>
      <c r="Q6" s="13"/>
      <c r="R6" s="13"/>
      <c r="S6" s="13"/>
      <c r="T6" s="13"/>
      <c r="U6" s="13"/>
      <c r="V6" s="13"/>
      <c r="W6" s="13"/>
      <c r="X6" s="13"/>
      <c r="Y6" s="13"/>
      <c r="Z6" s="13"/>
    </row>
    <row r="7">
      <c r="A7" s="13"/>
      <c r="B7" s="43" t="str">
        <f t="shared" si="1"/>
        <v>FHLB AHP Loan</v>
      </c>
      <c r="C7" s="44">
        <f t="shared" si="2"/>
        <v>1000000</v>
      </c>
      <c r="D7" s="49" t="s">
        <v>50</v>
      </c>
      <c r="E7" s="50">
        <f>C64</f>
        <v>256609.7612</v>
      </c>
      <c r="F7" s="13"/>
      <c r="G7" s="13"/>
      <c r="H7" s="13"/>
      <c r="I7" s="13"/>
      <c r="J7" s="13"/>
      <c r="K7" s="13"/>
      <c r="L7" s="13"/>
      <c r="M7" s="13"/>
      <c r="N7" s="13"/>
      <c r="O7" s="13"/>
      <c r="P7" s="13"/>
      <c r="Q7" s="13"/>
      <c r="R7" s="13"/>
      <c r="S7" s="13"/>
      <c r="T7" s="13"/>
      <c r="U7" s="13"/>
      <c r="V7" s="13"/>
      <c r="W7" s="13"/>
      <c r="X7" s="13"/>
      <c r="Y7" s="13"/>
      <c r="Z7" s="13"/>
    </row>
    <row r="8">
      <c r="A8" s="13"/>
      <c r="B8" s="43" t="str">
        <f t="shared" si="1"/>
        <v>Deferred Developer Fee</v>
      </c>
      <c r="C8" s="44">
        <f t="shared" si="2"/>
        <v>693000</v>
      </c>
      <c r="D8" s="49" t="s">
        <v>51</v>
      </c>
      <c r="E8" s="50">
        <f>C78</f>
        <v>1504914.43</v>
      </c>
      <c r="F8" s="13"/>
      <c r="G8" s="13"/>
      <c r="H8" s="13"/>
      <c r="I8" s="13"/>
      <c r="J8" s="13"/>
      <c r="K8" s="13"/>
      <c r="L8" s="13"/>
      <c r="M8" s="13"/>
      <c r="N8" s="13"/>
      <c r="O8" s="13"/>
      <c r="P8" s="13"/>
      <c r="Q8" s="13"/>
      <c r="R8" s="13"/>
      <c r="S8" s="13"/>
      <c r="T8" s="13"/>
      <c r="U8" s="13"/>
      <c r="V8" s="13"/>
      <c r="W8" s="13"/>
      <c r="X8" s="13"/>
      <c r="Y8" s="13"/>
      <c r="Z8" s="13"/>
    </row>
    <row r="9">
      <c r="A9" s="13"/>
      <c r="B9" s="43" t="str">
        <f t="shared" si="1"/>
        <v>City of Madison AHF</v>
      </c>
      <c r="C9" s="44">
        <f t="shared" si="2"/>
        <v>1515285</v>
      </c>
      <c r="D9" s="49" t="s">
        <v>52</v>
      </c>
      <c r="E9" s="50">
        <f>C92</f>
        <v>307418.5253</v>
      </c>
      <c r="F9" s="13"/>
      <c r="G9" s="13"/>
      <c r="H9" s="13"/>
      <c r="I9" s="13"/>
      <c r="J9" s="13"/>
      <c r="K9" s="13"/>
      <c r="L9" s="13"/>
      <c r="M9" s="13"/>
      <c r="N9" s="13"/>
      <c r="O9" s="13"/>
      <c r="P9" s="13"/>
      <c r="Q9" s="13"/>
      <c r="R9" s="13"/>
      <c r="S9" s="13"/>
      <c r="T9" s="13"/>
      <c r="U9" s="13"/>
      <c r="V9" s="13"/>
      <c r="W9" s="13"/>
      <c r="X9" s="13"/>
      <c r="Y9" s="13"/>
      <c r="Z9" s="13"/>
    </row>
    <row r="10">
      <c r="A10" s="13"/>
      <c r="B10" s="43" t="str">
        <f t="shared" si="1"/>
        <v>Focus On Energy Solar Incentive (Solar)</v>
      </c>
      <c r="C10" s="44">
        <f t="shared" si="2"/>
        <v>41831.16</v>
      </c>
      <c r="D10" s="49" t="s">
        <v>53</v>
      </c>
      <c r="E10" s="50">
        <f>C104</f>
        <v>224137.5</v>
      </c>
      <c r="F10" s="13"/>
      <c r="G10" s="13"/>
      <c r="H10" s="13"/>
      <c r="I10" s="13"/>
      <c r="J10" s="13"/>
      <c r="K10" s="13"/>
      <c r="L10" s="13"/>
      <c r="M10" s="13"/>
      <c r="N10" s="13"/>
      <c r="O10" s="13"/>
      <c r="P10" s="13"/>
      <c r="Q10" s="13"/>
      <c r="R10" s="13"/>
      <c r="S10" s="13"/>
      <c r="T10" s="13"/>
      <c r="U10" s="13"/>
      <c r="V10" s="13"/>
      <c r="W10" s="13"/>
      <c r="X10" s="13"/>
      <c r="Y10" s="13"/>
      <c r="Z10" s="13"/>
    </row>
    <row r="11">
      <c r="A11" s="13"/>
      <c r="B11" s="43" t="str">
        <f t="shared" si="1"/>
        <v>RENEW Wisconsin Solar for Good Grant (Solar)</v>
      </c>
      <c r="C11" s="44">
        <f t="shared" si="2"/>
        <v>50000</v>
      </c>
      <c r="D11" s="49" t="s">
        <v>54</v>
      </c>
      <c r="E11" s="50">
        <f>C111</f>
        <v>1386000</v>
      </c>
      <c r="F11" s="13"/>
      <c r="G11" s="13"/>
      <c r="H11" s="13"/>
      <c r="I11" s="13"/>
      <c r="J11" s="13"/>
      <c r="K11" s="13"/>
      <c r="L11" s="13"/>
      <c r="M11" s="13"/>
      <c r="N11" s="13"/>
      <c r="O11" s="13"/>
      <c r="P11" s="13"/>
      <c r="Q11" s="13"/>
      <c r="R11" s="13"/>
      <c r="S11" s="13"/>
      <c r="T11" s="13"/>
      <c r="U11" s="13"/>
      <c r="V11" s="13"/>
      <c r="W11" s="13"/>
      <c r="X11" s="13"/>
      <c r="Y11" s="13"/>
      <c r="Z11" s="13"/>
    </row>
    <row r="12">
      <c r="A12" s="13"/>
      <c r="B12" s="43" t="str">
        <f t="shared" si="1"/>
        <v>Source 8</v>
      </c>
      <c r="C12" s="44">
        <f t="shared" si="2"/>
        <v>0</v>
      </c>
      <c r="D12" s="49" t="s">
        <v>55</v>
      </c>
      <c r="E12" s="50">
        <f>C122</f>
        <v>439673.9035</v>
      </c>
      <c r="F12" s="13"/>
      <c r="G12" s="13"/>
      <c r="H12" s="13"/>
      <c r="I12" s="13"/>
      <c r="J12" s="13"/>
      <c r="K12" s="13"/>
      <c r="L12" s="13"/>
      <c r="M12" s="13"/>
      <c r="N12" s="13"/>
      <c r="O12" s="13"/>
      <c r="P12" s="13"/>
      <c r="Q12" s="13"/>
      <c r="R12" s="13"/>
      <c r="S12" s="13"/>
      <c r="T12" s="13"/>
      <c r="U12" s="13"/>
      <c r="V12" s="13"/>
      <c r="W12" s="13"/>
      <c r="X12" s="13"/>
      <c r="Y12" s="13"/>
      <c r="Z12" s="13"/>
    </row>
    <row r="13">
      <c r="A13" s="13"/>
      <c r="B13" s="43" t="str">
        <f t="shared" si="1"/>
        <v>Source 9</v>
      </c>
      <c r="C13" s="44">
        <f t="shared" si="2"/>
        <v>0</v>
      </c>
      <c r="D13" s="49" t="s">
        <v>56</v>
      </c>
      <c r="E13" s="50">
        <v>0.0</v>
      </c>
      <c r="F13" s="13"/>
      <c r="G13" s="13"/>
      <c r="H13" s="13"/>
      <c r="I13" s="13"/>
      <c r="J13" s="13"/>
      <c r="K13" s="13"/>
      <c r="L13" s="13"/>
      <c r="M13" s="13"/>
      <c r="N13" s="13"/>
      <c r="O13" s="13"/>
      <c r="P13" s="13"/>
      <c r="Q13" s="13"/>
      <c r="R13" s="13"/>
      <c r="S13" s="13"/>
      <c r="T13" s="13"/>
      <c r="U13" s="13"/>
      <c r="V13" s="13"/>
      <c r="W13" s="13"/>
      <c r="X13" s="13"/>
      <c r="Y13" s="13"/>
      <c r="Z13" s="13"/>
    </row>
    <row r="14">
      <c r="A14" s="13"/>
      <c r="B14" s="43" t="str">
        <f t="shared" si="1"/>
        <v>Source 10</v>
      </c>
      <c r="C14" s="44">
        <f t="shared" si="2"/>
        <v>0</v>
      </c>
      <c r="D14" s="51" t="s">
        <v>56</v>
      </c>
      <c r="E14" s="52">
        <v>0.0</v>
      </c>
      <c r="F14" s="13"/>
      <c r="G14" s="13"/>
      <c r="H14" s="13"/>
      <c r="I14" s="58"/>
      <c r="J14" s="13"/>
      <c r="K14" s="13"/>
      <c r="L14" s="13"/>
      <c r="M14" s="13"/>
      <c r="N14" s="13"/>
      <c r="O14" s="13"/>
      <c r="P14" s="13"/>
      <c r="Q14" s="13"/>
      <c r="R14" s="13"/>
      <c r="S14" s="13"/>
      <c r="T14" s="13"/>
      <c r="U14" s="13"/>
      <c r="V14" s="13"/>
      <c r="W14" s="13"/>
      <c r="X14" s="13"/>
      <c r="Y14" s="13"/>
      <c r="Z14" s="13"/>
    </row>
    <row r="15">
      <c r="A15" s="13"/>
      <c r="B15" s="53" t="s">
        <v>57</v>
      </c>
      <c r="C15" s="54">
        <f>SUM(C5:C14)</f>
        <v>16849850.96</v>
      </c>
      <c r="D15" s="55" t="s">
        <v>58</v>
      </c>
      <c r="E15" s="56">
        <f>SUM(E5:E14)</f>
        <v>16849850.96</v>
      </c>
      <c r="F15" s="47" t="s">
        <v>59</v>
      </c>
      <c r="G15" s="57">
        <f>C15-E15</f>
        <v>0</v>
      </c>
      <c r="H15" s="13"/>
      <c r="I15" s="13"/>
      <c r="J15" s="13"/>
      <c r="K15" s="13"/>
      <c r="L15" s="13"/>
      <c r="M15" s="13"/>
      <c r="N15" s="13"/>
      <c r="O15" s="13"/>
      <c r="P15" s="13"/>
      <c r="Q15" s="13"/>
      <c r="R15" s="13"/>
      <c r="S15" s="13"/>
      <c r="T15" s="13"/>
      <c r="U15" s="13"/>
      <c r="V15" s="13"/>
      <c r="W15" s="13"/>
      <c r="X15" s="13"/>
      <c r="Y15" s="13"/>
      <c r="Z15" s="13"/>
    </row>
    <row r="16">
      <c r="A16" s="13"/>
      <c r="B16" s="13"/>
      <c r="C16" s="34"/>
      <c r="D16" s="13"/>
      <c r="E16" s="13"/>
      <c r="F16" s="13"/>
      <c r="G16" s="13"/>
      <c r="H16" s="13"/>
      <c r="I16" s="13"/>
      <c r="J16" s="13"/>
      <c r="K16" s="13"/>
      <c r="L16" s="13"/>
      <c r="M16" s="13"/>
      <c r="N16" s="13"/>
      <c r="O16" s="13"/>
      <c r="P16" s="13"/>
      <c r="Q16" s="13"/>
      <c r="R16" s="13"/>
      <c r="S16" s="13"/>
      <c r="T16" s="13"/>
      <c r="U16" s="13"/>
      <c r="V16" s="13"/>
      <c r="W16" s="13"/>
      <c r="X16" s="13"/>
      <c r="Y16" s="13"/>
      <c r="Z16" s="13"/>
    </row>
    <row r="17">
      <c r="A17" s="13"/>
      <c r="B17" s="60" t="s">
        <v>45</v>
      </c>
      <c r="C17" s="37"/>
      <c r="D17" s="37"/>
      <c r="E17" s="37"/>
      <c r="F17" s="37"/>
      <c r="G17" s="37"/>
      <c r="H17" s="61"/>
      <c r="I17" s="61"/>
      <c r="J17" s="61"/>
      <c r="K17" s="13"/>
      <c r="L17" s="13"/>
      <c r="M17" s="13"/>
      <c r="N17" s="13"/>
      <c r="O17" s="13"/>
      <c r="P17" s="13"/>
      <c r="Q17" s="13"/>
      <c r="R17" s="13"/>
      <c r="S17" s="13"/>
      <c r="T17" s="13"/>
      <c r="U17" s="13"/>
      <c r="V17" s="13"/>
      <c r="W17" s="13"/>
      <c r="X17" s="13"/>
      <c r="Y17" s="13"/>
      <c r="Z17" s="13"/>
    </row>
    <row r="18">
      <c r="A18" s="13"/>
      <c r="B18" s="62"/>
      <c r="C18" s="34"/>
      <c r="D18" s="13"/>
      <c r="E18" s="13"/>
      <c r="F18" s="13"/>
      <c r="G18" s="13"/>
      <c r="H18" s="13"/>
      <c r="I18" s="13"/>
      <c r="J18" s="13"/>
      <c r="K18" s="13"/>
      <c r="L18" s="13"/>
      <c r="M18" s="13"/>
      <c r="N18" s="13"/>
      <c r="O18" s="13"/>
      <c r="P18" s="13"/>
      <c r="Q18" s="13"/>
      <c r="R18" s="13"/>
      <c r="S18" s="13"/>
      <c r="T18" s="13"/>
      <c r="U18" s="13"/>
      <c r="V18" s="13"/>
      <c r="W18" s="13"/>
      <c r="X18" s="13"/>
      <c r="Y18" s="13"/>
      <c r="Z18" s="13"/>
    </row>
    <row r="19">
      <c r="A19" s="13"/>
      <c r="B19" s="63" t="s">
        <v>60</v>
      </c>
      <c r="C19" s="64" t="s">
        <v>61</v>
      </c>
      <c r="D19" s="64" t="s">
        <v>62</v>
      </c>
      <c r="E19" s="64" t="s">
        <v>63</v>
      </c>
      <c r="F19" s="64" t="s">
        <v>64</v>
      </c>
      <c r="G19" s="65" t="s">
        <v>65</v>
      </c>
      <c r="H19" s="65" t="s">
        <v>66</v>
      </c>
      <c r="I19" s="66" t="s">
        <v>67</v>
      </c>
      <c r="J19" s="13"/>
      <c r="K19" s="13"/>
      <c r="L19" s="13"/>
      <c r="M19" s="13"/>
      <c r="N19" s="13"/>
      <c r="O19" s="13"/>
      <c r="P19" s="13"/>
      <c r="Q19" s="13"/>
      <c r="R19" s="13"/>
      <c r="S19" s="13"/>
      <c r="T19" s="13"/>
      <c r="U19" s="13"/>
      <c r="V19" s="13"/>
      <c r="W19" s="13"/>
      <c r="X19" s="13"/>
      <c r="Y19" s="13"/>
      <c r="Z19" s="13"/>
    </row>
    <row r="20">
      <c r="A20" s="13"/>
      <c r="B20" s="67" t="s">
        <v>537</v>
      </c>
      <c r="C20" s="68" t="s">
        <v>68</v>
      </c>
      <c r="D20" s="69">
        <f>'Loan Sizing (P3)'!D14</f>
        <v>3673566.687</v>
      </c>
      <c r="E20" s="70">
        <f>'Loan Sizing (P3)'!D11</f>
        <v>0.0625</v>
      </c>
      <c r="F20" s="80">
        <f>'Loan Sizing (P3)'!D10*12</f>
        <v>420</v>
      </c>
      <c r="G20" s="409">
        <f t="shared" ref="G20:G29" si="3">IF(C20="Hard Debt",(PMT(E20/12,F20,-D20)*12),0)</f>
        <v>258799.7519</v>
      </c>
      <c r="H20" s="82">
        <f>D20/unit_three</f>
        <v>55660.10132</v>
      </c>
      <c r="I20" s="85">
        <f t="shared" ref="I20:I29" si="4">IF(C20="Hard Debt",PMT(E20/12,F20,D20,0),0)</f>
        <v>-21566.646</v>
      </c>
      <c r="J20" s="75"/>
      <c r="K20" s="13"/>
      <c r="L20" s="13"/>
      <c r="M20" s="13"/>
      <c r="N20" s="13"/>
      <c r="O20" s="13"/>
      <c r="P20" s="13"/>
      <c r="Q20" s="13"/>
      <c r="R20" s="13"/>
      <c r="S20" s="13"/>
      <c r="T20" s="13"/>
      <c r="U20" s="13"/>
      <c r="V20" s="13"/>
      <c r="W20" s="13"/>
      <c r="X20" s="13"/>
      <c r="Y20" s="13"/>
      <c r="Z20" s="13"/>
    </row>
    <row r="21" ht="15.75" customHeight="1">
      <c r="A21" s="13"/>
      <c r="B21" s="76" t="s">
        <v>538</v>
      </c>
      <c r="C21" s="77" t="s">
        <v>71</v>
      </c>
      <c r="D21" s="78">
        <f>C154</f>
        <v>9876168.112</v>
      </c>
      <c r="E21" s="79">
        <v>0.0</v>
      </c>
      <c r="F21" s="80"/>
      <c r="G21" s="84">
        <f t="shared" si="3"/>
        <v>0</v>
      </c>
      <c r="H21" s="84">
        <f>D21/unit_three</f>
        <v>149638.9108</v>
      </c>
      <c r="I21" s="85">
        <f t="shared" si="4"/>
        <v>0</v>
      </c>
      <c r="J21" s="13"/>
      <c r="K21" s="13"/>
      <c r="L21" s="13"/>
      <c r="M21" s="13"/>
      <c r="N21" s="13"/>
      <c r="O21" s="13"/>
      <c r="P21" s="13"/>
      <c r="Q21" s="13"/>
      <c r="R21" s="13"/>
      <c r="S21" s="13"/>
      <c r="T21" s="13"/>
      <c r="U21" s="13"/>
      <c r="V21" s="13"/>
      <c r="W21" s="13"/>
      <c r="X21" s="13"/>
      <c r="Y21" s="13"/>
      <c r="Z21" s="13"/>
    </row>
    <row r="22" ht="15.75" customHeight="1">
      <c r="A22" s="13"/>
      <c r="B22" s="76" t="s">
        <v>539</v>
      </c>
      <c r="C22" s="77" t="s">
        <v>75</v>
      </c>
      <c r="D22" s="78">
        <v>1000000.0</v>
      </c>
      <c r="E22" s="79">
        <v>0.0</v>
      </c>
      <c r="F22" s="80"/>
      <c r="G22" s="84">
        <f t="shared" si="3"/>
        <v>0</v>
      </c>
      <c r="H22" s="84">
        <f>D22/unit_three</f>
        <v>15151.51515</v>
      </c>
      <c r="I22" s="85">
        <f t="shared" si="4"/>
        <v>0</v>
      </c>
      <c r="K22" s="13"/>
      <c r="L22" s="13"/>
      <c r="M22" s="13"/>
      <c r="N22" s="13"/>
      <c r="O22" s="13"/>
      <c r="P22" s="13"/>
      <c r="Q22" s="13"/>
      <c r="R22" s="13"/>
      <c r="S22" s="13"/>
      <c r="T22" s="13"/>
      <c r="U22" s="13"/>
      <c r="V22" s="13"/>
      <c r="W22" s="13"/>
      <c r="X22" s="13"/>
      <c r="Y22" s="13"/>
      <c r="Z22" s="13"/>
    </row>
    <row r="23" ht="15.75" customHeight="1">
      <c r="A23" s="13"/>
      <c r="B23" s="76" t="s">
        <v>73</v>
      </c>
      <c r="C23" s="77" t="s">
        <v>73</v>
      </c>
      <c r="D23" s="78">
        <f>C109*0.5</f>
        <v>693000</v>
      </c>
      <c r="E23" s="79">
        <v>0.0</v>
      </c>
      <c r="F23" s="80"/>
      <c r="G23" s="84">
        <f t="shared" si="3"/>
        <v>0</v>
      </c>
      <c r="H23" s="84">
        <f>D23/unit_three</f>
        <v>10500</v>
      </c>
      <c r="I23" s="85">
        <f t="shared" si="4"/>
        <v>0</v>
      </c>
      <c r="J23" s="13"/>
      <c r="K23" s="15"/>
      <c r="L23" s="13"/>
      <c r="M23" s="13"/>
      <c r="N23" s="13"/>
      <c r="O23" s="13"/>
      <c r="P23" s="13"/>
      <c r="Q23" s="13"/>
      <c r="R23" s="13"/>
      <c r="S23" s="13"/>
      <c r="T23" s="13"/>
      <c r="U23" s="13"/>
      <c r="V23" s="13"/>
      <c r="W23" s="13"/>
      <c r="X23" s="13"/>
      <c r="Y23" s="13"/>
      <c r="Z23" s="13"/>
    </row>
    <row r="24" ht="15.75" customHeight="1">
      <c r="A24" s="13"/>
      <c r="B24" s="76" t="s">
        <v>638</v>
      </c>
      <c r="C24" s="77" t="s">
        <v>75</v>
      </c>
      <c r="D24" s="78">
        <v>1515285.0</v>
      </c>
      <c r="E24" s="79">
        <v>0.0275</v>
      </c>
      <c r="F24" s="80"/>
      <c r="G24" s="84">
        <f t="shared" si="3"/>
        <v>0</v>
      </c>
      <c r="H24" s="84">
        <f>D24/unit_three</f>
        <v>22958.86364</v>
      </c>
      <c r="I24" s="85">
        <f t="shared" si="4"/>
        <v>0</v>
      </c>
      <c r="J24" s="58" t="s">
        <v>639</v>
      </c>
      <c r="K24" s="13"/>
      <c r="L24" s="13"/>
      <c r="M24" s="13"/>
      <c r="N24" s="13"/>
      <c r="O24" s="13"/>
      <c r="P24" s="13"/>
      <c r="Q24" s="13"/>
      <c r="R24" s="13"/>
      <c r="S24" s="13"/>
      <c r="T24" s="13"/>
      <c r="U24" s="13"/>
      <c r="V24" s="13"/>
      <c r="W24" s="13"/>
      <c r="X24" s="13"/>
      <c r="Y24" s="13"/>
      <c r="Z24" s="13"/>
    </row>
    <row r="25" ht="15.75" customHeight="1">
      <c r="A25" s="13"/>
      <c r="B25" s="76" t="s">
        <v>76</v>
      </c>
      <c r="C25" s="77" t="s">
        <v>77</v>
      </c>
      <c r="D25" s="78">
        <f>'Assumptions (P3)'!D128</f>
        <v>41831.16</v>
      </c>
      <c r="E25" s="79">
        <v>0.0</v>
      </c>
      <c r="F25" s="80"/>
      <c r="G25" s="84">
        <f t="shared" si="3"/>
        <v>0</v>
      </c>
      <c r="H25" s="84">
        <f>D25/unit_three</f>
        <v>633.8054545</v>
      </c>
      <c r="I25" s="85">
        <f t="shared" si="4"/>
        <v>0</v>
      </c>
      <c r="J25" s="13"/>
      <c r="K25" s="13"/>
      <c r="L25" s="13"/>
      <c r="M25" s="13"/>
      <c r="N25" s="13"/>
      <c r="O25" s="13"/>
      <c r="P25" s="13"/>
      <c r="Q25" s="13"/>
      <c r="R25" s="13"/>
      <c r="S25" s="13"/>
      <c r="T25" s="13"/>
      <c r="U25" s="13"/>
      <c r="V25" s="13"/>
      <c r="W25" s="13"/>
      <c r="X25" s="13"/>
      <c r="Y25" s="13"/>
      <c r="Z25" s="13"/>
    </row>
    <row r="26" ht="15.75" customHeight="1">
      <c r="A26" s="13"/>
      <c r="B26" s="76" t="s">
        <v>78</v>
      </c>
      <c r="C26" s="77" t="s">
        <v>77</v>
      </c>
      <c r="D26" s="78">
        <v>50000.0</v>
      </c>
      <c r="E26" s="79">
        <v>0.0</v>
      </c>
      <c r="F26" s="80"/>
      <c r="G26" s="84">
        <f t="shared" si="3"/>
        <v>0</v>
      </c>
      <c r="H26" s="84">
        <f>D26/unit_three</f>
        <v>757.5757576</v>
      </c>
      <c r="I26" s="85">
        <f t="shared" si="4"/>
        <v>0</v>
      </c>
      <c r="J26" s="13"/>
      <c r="K26" s="13"/>
      <c r="L26" s="13"/>
      <c r="M26" s="13"/>
      <c r="N26" s="13"/>
      <c r="O26" s="13"/>
      <c r="P26" s="13"/>
      <c r="Q26" s="13"/>
      <c r="R26" s="13"/>
      <c r="S26" s="13"/>
      <c r="T26" s="13"/>
      <c r="U26" s="13"/>
      <c r="V26" s="13"/>
      <c r="W26" s="13"/>
      <c r="X26" s="13"/>
      <c r="Y26" s="13"/>
      <c r="Z26" s="13"/>
    </row>
    <row r="27" ht="15.75" customHeight="1">
      <c r="A27" s="13"/>
      <c r="B27" s="76" t="s">
        <v>541</v>
      </c>
      <c r="C27" s="77"/>
      <c r="D27" s="78">
        <v>0.0</v>
      </c>
      <c r="E27" s="79">
        <v>0.0</v>
      </c>
      <c r="F27" s="80"/>
      <c r="G27" s="84">
        <f t="shared" si="3"/>
        <v>0</v>
      </c>
      <c r="H27" s="84">
        <f>D27/unit_three</f>
        <v>0</v>
      </c>
      <c r="I27" s="85">
        <f t="shared" si="4"/>
        <v>0</v>
      </c>
      <c r="J27" s="13"/>
      <c r="K27" s="13"/>
      <c r="L27" s="13"/>
      <c r="M27" s="13"/>
      <c r="N27" s="13"/>
      <c r="O27" s="13"/>
      <c r="P27" s="13"/>
      <c r="Q27" s="13"/>
      <c r="R27" s="13"/>
      <c r="S27" s="13"/>
      <c r="T27" s="13"/>
      <c r="U27" s="13"/>
      <c r="V27" s="13"/>
      <c r="W27" s="13"/>
      <c r="X27" s="13"/>
      <c r="Y27" s="13"/>
      <c r="Z27" s="13"/>
    </row>
    <row r="28" ht="15.75" customHeight="1">
      <c r="A28" s="13"/>
      <c r="B28" s="76" t="s">
        <v>79</v>
      </c>
      <c r="C28" s="410"/>
      <c r="D28" s="411">
        <v>0.0</v>
      </c>
      <c r="E28" s="79">
        <v>0.0</v>
      </c>
      <c r="F28" s="77"/>
      <c r="G28" s="84">
        <f t="shared" si="3"/>
        <v>0</v>
      </c>
      <c r="H28" s="84">
        <f>D28/unit_three</f>
        <v>0</v>
      </c>
      <c r="I28" s="50">
        <f t="shared" si="4"/>
        <v>0</v>
      </c>
      <c r="J28" s="13"/>
      <c r="K28" s="13"/>
      <c r="L28" s="13"/>
      <c r="M28" s="13"/>
      <c r="N28" s="13"/>
      <c r="O28" s="13"/>
      <c r="P28" s="13"/>
      <c r="Q28" s="13"/>
      <c r="R28" s="13"/>
      <c r="S28" s="13"/>
      <c r="T28" s="13"/>
      <c r="U28" s="13"/>
      <c r="V28" s="13"/>
      <c r="W28" s="13"/>
      <c r="X28" s="13"/>
      <c r="Y28" s="13"/>
      <c r="Z28" s="13"/>
    </row>
    <row r="29" ht="15.75" customHeight="1">
      <c r="A29" s="13"/>
      <c r="B29" s="412" t="s">
        <v>80</v>
      </c>
      <c r="C29" s="413"/>
      <c r="D29" s="414">
        <v>0.0</v>
      </c>
      <c r="E29" s="415">
        <v>0.0</v>
      </c>
      <c r="F29" s="86"/>
      <c r="G29" s="87">
        <f t="shared" si="3"/>
        <v>0</v>
      </c>
      <c r="H29" s="88">
        <f>D29/unit_three</f>
        <v>0</v>
      </c>
      <c r="I29" s="89">
        <f t="shared" si="4"/>
        <v>0</v>
      </c>
      <c r="J29" s="13"/>
      <c r="K29" s="13"/>
      <c r="L29" s="13"/>
      <c r="M29" s="13"/>
      <c r="N29" s="13"/>
      <c r="O29" s="13"/>
      <c r="P29" s="13"/>
      <c r="Q29" s="13"/>
      <c r="R29" s="13"/>
      <c r="S29" s="13"/>
      <c r="T29" s="13"/>
      <c r="U29" s="13"/>
      <c r="V29" s="13"/>
      <c r="W29" s="13"/>
      <c r="X29" s="13"/>
      <c r="Y29" s="13"/>
      <c r="Z29" s="13"/>
    </row>
    <row r="30" ht="15.75" customHeight="1">
      <c r="A30" s="13"/>
      <c r="B30" s="15"/>
      <c r="C30" s="90" t="s">
        <v>81</v>
      </c>
      <c r="D30" s="91">
        <f>SUM(D20:D29)</f>
        <v>16849850.96</v>
      </c>
      <c r="E30" s="92"/>
      <c r="F30" s="90" t="s">
        <v>82</v>
      </c>
      <c r="G30" s="93">
        <f>SUM(G20:G29)</f>
        <v>258799.7519</v>
      </c>
      <c r="H30" s="15"/>
      <c r="I30" s="15"/>
      <c r="J30" s="94"/>
      <c r="K30" s="13"/>
      <c r="L30" s="13"/>
      <c r="M30" s="13"/>
      <c r="N30" s="13"/>
      <c r="O30" s="13"/>
      <c r="P30" s="13"/>
      <c r="Q30" s="13"/>
      <c r="R30" s="13"/>
      <c r="S30" s="13"/>
      <c r="T30" s="13"/>
      <c r="U30" s="13"/>
      <c r="V30" s="13"/>
      <c r="W30" s="13"/>
      <c r="X30" s="13"/>
      <c r="Y30" s="13"/>
      <c r="Z30" s="13"/>
    </row>
    <row r="31" ht="15.75" customHeight="1">
      <c r="A31" s="13"/>
      <c r="B31" s="95"/>
      <c r="C31" s="13"/>
      <c r="D31" s="13"/>
      <c r="E31" s="13"/>
      <c r="F31" s="13"/>
      <c r="G31" s="13"/>
      <c r="H31" s="13"/>
      <c r="I31" s="13"/>
      <c r="J31" s="96"/>
      <c r="K31" s="13"/>
      <c r="L31" s="13"/>
      <c r="M31" s="13"/>
      <c r="N31" s="13"/>
      <c r="O31" s="13"/>
      <c r="P31" s="13"/>
      <c r="Q31" s="13"/>
      <c r="R31" s="13"/>
      <c r="S31" s="13"/>
      <c r="T31" s="13"/>
      <c r="U31" s="13"/>
      <c r="V31" s="13"/>
      <c r="W31" s="13"/>
      <c r="X31" s="13"/>
      <c r="Y31" s="13"/>
      <c r="Z31" s="13"/>
    </row>
    <row r="32" ht="15.75" customHeight="1">
      <c r="A32" s="13"/>
      <c r="B32" s="97" t="s">
        <v>83</v>
      </c>
      <c r="C32" s="98">
        <f>noi_three</f>
        <v>304089.7085</v>
      </c>
      <c r="D32" s="13"/>
      <c r="E32" s="13"/>
      <c r="F32" s="13"/>
      <c r="G32" s="13"/>
      <c r="H32" s="13"/>
      <c r="I32" s="13"/>
      <c r="J32" s="96"/>
      <c r="K32" s="13"/>
      <c r="L32" s="13"/>
      <c r="M32" s="13"/>
      <c r="N32" s="13"/>
      <c r="O32" s="13"/>
      <c r="P32" s="13"/>
      <c r="Q32" s="13"/>
      <c r="R32" s="13"/>
      <c r="S32" s="13"/>
      <c r="T32" s="13"/>
      <c r="U32" s="13"/>
      <c r="V32" s="13"/>
      <c r="W32" s="13"/>
      <c r="X32" s="13"/>
      <c r="Y32" s="13"/>
      <c r="Z32" s="13"/>
    </row>
    <row r="33" ht="15.75" customHeight="1">
      <c r="A33" s="13"/>
      <c r="B33" s="99" t="s">
        <v>84</v>
      </c>
      <c r="C33" s="100">
        <f>debtservtotal_three</f>
        <v>258799.7519</v>
      </c>
      <c r="D33" s="13"/>
      <c r="E33" s="13"/>
      <c r="F33" s="13"/>
      <c r="G33" s="13"/>
      <c r="H33" s="13"/>
      <c r="I33" s="13"/>
      <c r="J33" s="96"/>
      <c r="K33" s="13"/>
      <c r="L33" s="13"/>
      <c r="M33" s="13"/>
      <c r="N33" s="13"/>
      <c r="O33" s="13"/>
      <c r="P33" s="13"/>
      <c r="Q33" s="13"/>
      <c r="R33" s="13"/>
      <c r="S33" s="13"/>
      <c r="T33" s="13"/>
      <c r="U33" s="13"/>
      <c r="V33" s="13"/>
      <c r="W33" s="13"/>
      <c r="X33" s="13"/>
      <c r="Y33" s="13"/>
      <c r="Z33" s="13"/>
    </row>
    <row r="34" ht="15.75" customHeight="1">
      <c r="A34" s="13"/>
      <c r="B34" s="101" t="s">
        <v>85</v>
      </c>
      <c r="C34" s="102">
        <f>noi_three/debtservtotal_three</f>
        <v>1.175</v>
      </c>
      <c r="D34" s="13"/>
      <c r="E34" s="13"/>
      <c r="F34" s="13"/>
      <c r="G34" s="13"/>
      <c r="H34" s="13"/>
      <c r="I34" s="13"/>
      <c r="J34" s="13"/>
      <c r="K34" s="13"/>
      <c r="L34" s="13"/>
      <c r="M34" s="13"/>
      <c r="N34" s="13"/>
      <c r="O34" s="13"/>
      <c r="P34" s="13"/>
      <c r="Q34" s="13"/>
      <c r="R34" s="13"/>
      <c r="S34" s="13"/>
      <c r="T34" s="13"/>
      <c r="U34" s="13"/>
      <c r="V34" s="13"/>
      <c r="W34" s="13"/>
      <c r="X34" s="13"/>
      <c r="Y34" s="13"/>
      <c r="Z34" s="13"/>
    </row>
    <row r="35" ht="15.75" customHeight="1">
      <c r="A35" s="13"/>
      <c r="B35" s="62"/>
      <c r="C35" s="34"/>
      <c r="D35" s="13"/>
      <c r="E35" s="13"/>
      <c r="F35" s="13"/>
      <c r="G35" s="13"/>
      <c r="H35" s="13"/>
      <c r="I35" s="13"/>
      <c r="J35" s="13"/>
      <c r="K35" s="13"/>
      <c r="L35" s="13"/>
      <c r="M35" s="13"/>
      <c r="N35" s="13"/>
      <c r="O35" s="13"/>
      <c r="P35" s="13"/>
      <c r="Q35" s="13"/>
      <c r="R35" s="13"/>
      <c r="S35" s="13"/>
      <c r="T35" s="13"/>
      <c r="U35" s="13"/>
      <c r="V35" s="13"/>
      <c r="W35" s="13"/>
      <c r="X35" s="13"/>
      <c r="Y35" s="13"/>
      <c r="Z35" s="13"/>
    </row>
    <row r="36" ht="15.75" customHeight="1">
      <c r="A36" s="13"/>
      <c r="B36" s="60" t="s">
        <v>46</v>
      </c>
      <c r="C36" s="37"/>
      <c r="D36" s="37"/>
      <c r="E36" s="37"/>
      <c r="F36" s="37"/>
      <c r="G36" s="37"/>
      <c r="H36" s="61"/>
      <c r="I36" s="61"/>
      <c r="J36" s="61"/>
      <c r="K36" s="13"/>
      <c r="L36" s="13"/>
      <c r="M36" s="13"/>
      <c r="N36" s="13"/>
      <c r="O36" s="13"/>
      <c r="P36" s="13"/>
      <c r="Q36" s="13"/>
      <c r="R36" s="13"/>
      <c r="S36" s="13"/>
      <c r="T36" s="13"/>
      <c r="U36" s="13"/>
      <c r="V36" s="13"/>
      <c r="W36" s="13"/>
      <c r="X36" s="13"/>
      <c r="Y36" s="13"/>
      <c r="Z36" s="13"/>
    </row>
    <row r="37" ht="15.75" customHeight="1">
      <c r="A37" s="13"/>
      <c r="B37" s="62"/>
      <c r="C37" s="34"/>
      <c r="D37" s="13"/>
      <c r="E37" s="13"/>
      <c r="F37" s="13"/>
      <c r="G37" s="13"/>
      <c r="H37" s="13"/>
      <c r="I37" s="13"/>
      <c r="J37" s="13"/>
      <c r="K37" s="13"/>
      <c r="L37" s="13"/>
      <c r="M37" s="13"/>
      <c r="N37" s="13"/>
      <c r="O37" s="13"/>
      <c r="P37" s="13"/>
      <c r="Q37" s="13"/>
      <c r="R37" s="13"/>
      <c r="S37" s="13"/>
      <c r="T37" s="13"/>
      <c r="U37" s="13"/>
      <c r="V37" s="13"/>
      <c r="W37" s="13"/>
      <c r="X37" s="13"/>
      <c r="Y37" s="13"/>
      <c r="Z37" s="13"/>
    </row>
    <row r="38" ht="15.75" customHeight="1">
      <c r="A38" s="13"/>
      <c r="B38" s="62"/>
      <c r="C38" s="34"/>
      <c r="D38" s="13"/>
      <c r="E38" s="13"/>
      <c r="F38" s="13"/>
      <c r="G38" s="13"/>
      <c r="H38" s="13"/>
      <c r="I38" s="13"/>
      <c r="J38" s="13"/>
      <c r="K38" s="13"/>
      <c r="L38" s="13"/>
      <c r="M38" s="13"/>
      <c r="N38" s="13"/>
      <c r="O38" s="13"/>
      <c r="P38" s="13"/>
      <c r="Q38" s="13"/>
      <c r="R38" s="13"/>
      <c r="S38" s="13"/>
      <c r="T38" s="13"/>
      <c r="U38" s="13"/>
      <c r="V38" s="13"/>
      <c r="W38" s="13"/>
      <c r="X38" s="13"/>
      <c r="Y38" s="13"/>
      <c r="Z38" s="13"/>
    </row>
    <row r="39" ht="15.75" customHeight="1">
      <c r="A39" s="13"/>
      <c r="B39" s="62"/>
      <c r="C39" s="103" t="s">
        <v>86</v>
      </c>
      <c r="D39" s="103" t="s">
        <v>87</v>
      </c>
      <c r="E39" s="103" t="s">
        <v>88</v>
      </c>
      <c r="F39" s="103" t="s">
        <v>89</v>
      </c>
      <c r="G39" s="103" t="s">
        <v>90</v>
      </c>
      <c r="H39" s="13"/>
      <c r="I39" s="104"/>
      <c r="J39" s="13"/>
      <c r="K39" s="13"/>
      <c r="L39" s="13"/>
      <c r="M39" s="13"/>
      <c r="N39" s="13"/>
      <c r="O39" s="13"/>
      <c r="P39" s="13"/>
      <c r="Q39" s="13"/>
      <c r="R39" s="13"/>
      <c r="S39" s="13"/>
      <c r="T39" s="13"/>
      <c r="U39" s="13"/>
      <c r="V39" s="13"/>
      <c r="W39" s="13"/>
      <c r="X39" s="13"/>
      <c r="Y39" s="13"/>
      <c r="Z39" s="13"/>
    </row>
    <row r="40" ht="15.75" customHeight="1">
      <c r="A40" s="13"/>
      <c r="B40" s="106" t="s">
        <v>91</v>
      </c>
      <c r="C40" s="107"/>
      <c r="D40" s="108"/>
      <c r="E40" s="107"/>
      <c r="F40" s="108"/>
      <c r="G40" s="107"/>
      <c r="H40" s="13"/>
      <c r="I40" s="104"/>
      <c r="J40" s="13"/>
      <c r="K40" s="13"/>
      <c r="L40" s="13"/>
      <c r="M40" s="13"/>
      <c r="N40" s="13"/>
      <c r="O40" s="13"/>
      <c r="P40" s="13"/>
      <c r="Q40" s="13"/>
      <c r="R40" s="13"/>
      <c r="S40" s="13"/>
      <c r="T40" s="13"/>
      <c r="U40" s="13"/>
      <c r="V40" s="13"/>
      <c r="W40" s="13"/>
      <c r="X40" s="13"/>
      <c r="Y40" s="13"/>
      <c r="Z40" s="13"/>
    </row>
    <row r="41" ht="15.75" customHeight="1">
      <c r="A41" s="13"/>
      <c r="B41" s="109" t="s">
        <v>92</v>
      </c>
      <c r="C41" s="110"/>
      <c r="D41" s="111"/>
      <c r="E41" s="111"/>
      <c r="F41" s="111"/>
      <c r="G41" s="111"/>
      <c r="H41" s="13"/>
      <c r="I41" s="13"/>
      <c r="J41" s="13"/>
      <c r="K41" s="13"/>
      <c r="L41" s="13"/>
      <c r="M41" s="13"/>
      <c r="N41" s="13"/>
      <c r="O41" s="13"/>
      <c r="P41" s="13"/>
      <c r="Q41" s="13"/>
      <c r="R41" s="13"/>
      <c r="S41" s="13"/>
      <c r="T41" s="13"/>
      <c r="U41" s="13"/>
      <c r="V41" s="13"/>
      <c r="W41" s="13"/>
      <c r="X41" s="13"/>
      <c r="Y41" s="13"/>
      <c r="Z41" s="13"/>
    </row>
    <row r="42" ht="15.75" customHeight="1">
      <c r="A42" s="13"/>
      <c r="B42" s="112" t="s">
        <v>93</v>
      </c>
      <c r="C42" s="113">
        <v>0.0</v>
      </c>
      <c r="D42" s="114">
        <f>C42/unit_three</f>
        <v>0</v>
      </c>
      <c r="E42" s="115">
        <v>0.0</v>
      </c>
      <c r="F42" s="114">
        <f>E42/unit_three</f>
        <v>0</v>
      </c>
      <c r="G42" s="115">
        <v>0.0</v>
      </c>
      <c r="H42" s="13"/>
      <c r="I42" s="34"/>
      <c r="J42" s="13"/>
      <c r="K42" s="13"/>
      <c r="L42" s="13"/>
      <c r="M42" s="13"/>
      <c r="N42" s="13"/>
      <c r="O42" s="13"/>
      <c r="P42" s="13"/>
      <c r="Q42" s="13"/>
      <c r="R42" s="13"/>
      <c r="S42" s="13"/>
      <c r="T42" s="13"/>
      <c r="U42" s="13"/>
      <c r="V42" s="13"/>
      <c r="W42" s="13"/>
      <c r="X42" s="13"/>
      <c r="Y42" s="13"/>
      <c r="Z42" s="13"/>
    </row>
    <row r="43" ht="15.75" customHeight="1">
      <c r="A43" s="13"/>
      <c r="B43" s="116" t="s">
        <v>94</v>
      </c>
      <c r="C43" s="113">
        <v>0.0</v>
      </c>
      <c r="D43" s="114">
        <f>C43/unit_three</f>
        <v>0</v>
      </c>
      <c r="E43" s="115">
        <v>0.0</v>
      </c>
      <c r="F43" s="114">
        <f>E43/unit_three</f>
        <v>0</v>
      </c>
      <c r="G43" s="115">
        <v>0.0</v>
      </c>
      <c r="H43" s="13"/>
      <c r="I43" s="34"/>
      <c r="J43" s="13"/>
      <c r="K43" s="13"/>
      <c r="L43" s="13"/>
      <c r="M43" s="13"/>
      <c r="N43" s="13"/>
      <c r="O43" s="13"/>
      <c r="P43" s="13"/>
      <c r="Q43" s="13"/>
      <c r="R43" s="13"/>
      <c r="S43" s="13"/>
      <c r="T43" s="13"/>
      <c r="U43" s="13"/>
      <c r="V43" s="13"/>
      <c r="W43" s="13"/>
      <c r="X43" s="13"/>
      <c r="Y43" s="13"/>
      <c r="Z43" s="13"/>
    </row>
    <row r="44" ht="15.75" customHeight="1">
      <c r="A44" s="13"/>
      <c r="B44" s="117" t="s">
        <v>95</v>
      </c>
      <c r="C44" s="118">
        <f>SUM(C42:C43)</f>
        <v>0</v>
      </c>
      <c r="D44" s="119">
        <f>C44/unit_three</f>
        <v>0</v>
      </c>
      <c r="E44" s="119">
        <f>SUM(E42:E43)</f>
        <v>0</v>
      </c>
      <c r="F44" s="119">
        <f>E44/unit_three</f>
        <v>0</v>
      </c>
      <c r="G44" s="119"/>
      <c r="H44" s="13"/>
      <c r="I44" s="13"/>
      <c r="J44" s="13"/>
      <c r="K44" s="13"/>
      <c r="L44" s="13"/>
      <c r="M44" s="13"/>
      <c r="N44" s="13"/>
      <c r="O44" s="13"/>
      <c r="P44" s="13"/>
      <c r="Q44" s="13"/>
      <c r="R44" s="13"/>
      <c r="S44" s="13"/>
      <c r="T44" s="13"/>
      <c r="U44" s="13"/>
      <c r="V44" s="13"/>
      <c r="W44" s="13"/>
      <c r="X44" s="13"/>
      <c r="Y44" s="13"/>
      <c r="Z44" s="13"/>
    </row>
    <row r="45" ht="15.75" customHeight="1">
      <c r="A45" s="13"/>
      <c r="B45" s="120" t="s">
        <v>96</v>
      </c>
      <c r="C45" s="121"/>
      <c r="D45" s="122"/>
      <c r="E45" s="122"/>
      <c r="F45" s="122"/>
      <c r="G45" s="122"/>
      <c r="H45" s="13"/>
      <c r="I45" s="13"/>
      <c r="J45" s="13"/>
      <c r="K45" s="13"/>
      <c r="L45" s="13"/>
      <c r="M45" s="13"/>
      <c r="N45" s="13"/>
      <c r="O45" s="13"/>
      <c r="P45" s="13"/>
      <c r="Q45" s="13"/>
      <c r="R45" s="13"/>
      <c r="S45" s="13"/>
      <c r="T45" s="13"/>
      <c r="U45" s="13"/>
      <c r="V45" s="13"/>
      <c r="W45" s="13"/>
      <c r="X45" s="13"/>
      <c r="Y45" s="13"/>
      <c r="Z45" s="13"/>
    </row>
    <row r="46" ht="15.75" customHeight="1">
      <c r="A46" s="13"/>
      <c r="B46" s="112" t="s">
        <v>542</v>
      </c>
      <c r="C46" s="113">
        <f>'Assumptions (P3)'!D104*'Assumptions (P3)'!D105*'Assumptions (P3)'!D106</f>
        <v>576000</v>
      </c>
      <c r="D46" s="114">
        <f>C46/unit_three</f>
        <v>8727.272727</v>
      </c>
      <c r="E46" s="115">
        <v>0.0</v>
      </c>
      <c r="F46" s="114">
        <f>E46/unit_three</f>
        <v>0</v>
      </c>
      <c r="G46" s="115">
        <f t="shared" ref="G46:G49" si="5">C46</f>
        <v>576000</v>
      </c>
      <c r="H46" s="13"/>
      <c r="I46" s="104"/>
      <c r="J46" s="13"/>
      <c r="K46" s="13"/>
      <c r="L46" s="13"/>
      <c r="M46" s="13"/>
      <c r="N46" s="13"/>
      <c r="O46" s="13"/>
      <c r="P46" s="13"/>
      <c r="Q46" s="13"/>
      <c r="R46" s="13"/>
      <c r="S46" s="13"/>
      <c r="T46" s="13"/>
      <c r="U46" s="13"/>
      <c r="V46" s="13"/>
      <c r="W46" s="13"/>
      <c r="X46" s="13"/>
      <c r="Y46" s="13"/>
      <c r="Z46" s="13"/>
    </row>
    <row r="47" ht="15.75" customHeight="1">
      <c r="A47" s="13"/>
      <c r="B47" s="112" t="s">
        <v>97</v>
      </c>
      <c r="C47" s="113">
        <f>'Assumptions (P3)'!D107*(1+'Assumptions (P3)'!D108)*(1-'Assumptions (P3)'!D109-'Assumptions (P3)'!D110)*unit_three</f>
        <v>9798921.135</v>
      </c>
      <c r="D47" s="114">
        <f>C47/unit_three</f>
        <v>148468.502</v>
      </c>
      <c r="E47" s="115">
        <v>0.0</v>
      </c>
      <c r="F47" s="114">
        <f>E47/unit_three</f>
        <v>0</v>
      </c>
      <c r="G47" s="115">
        <f t="shared" si="5"/>
        <v>9798921.135</v>
      </c>
      <c r="H47" s="13"/>
      <c r="I47" s="104"/>
      <c r="J47" s="13"/>
      <c r="K47" s="13"/>
      <c r="L47" s="13"/>
      <c r="M47" s="13"/>
      <c r="N47" s="13"/>
      <c r="O47" s="13"/>
      <c r="P47" s="13"/>
      <c r="Q47" s="13"/>
      <c r="R47" s="13"/>
      <c r="S47" s="13"/>
      <c r="T47" s="13"/>
      <c r="U47" s="13"/>
      <c r="V47" s="13"/>
      <c r="W47" s="13"/>
      <c r="X47" s="13"/>
      <c r="Y47" s="13"/>
      <c r="Z47" s="13"/>
    </row>
    <row r="48" ht="15.75" customHeight="1">
      <c r="A48" s="13"/>
      <c r="B48" s="112" t="s">
        <v>98</v>
      </c>
      <c r="C48" s="113">
        <f>'Assumptions (P3)'!D111*SUM(C46:C47)</f>
        <v>518746.0567</v>
      </c>
      <c r="D48" s="114">
        <f>C48/unit_three</f>
        <v>7859.788739</v>
      </c>
      <c r="E48" s="115">
        <v>0.0</v>
      </c>
      <c r="F48" s="114">
        <f>E48/unit_three</f>
        <v>0</v>
      </c>
      <c r="G48" s="115">
        <f t="shared" si="5"/>
        <v>518746.0567</v>
      </c>
      <c r="H48" s="13"/>
      <c r="I48" s="104"/>
      <c r="J48" s="13"/>
      <c r="K48" s="13"/>
      <c r="L48" s="13"/>
      <c r="M48" s="13"/>
      <c r="N48" s="13"/>
      <c r="O48" s="13"/>
      <c r="P48" s="13"/>
      <c r="Q48" s="13"/>
      <c r="R48" s="13"/>
      <c r="S48" s="13"/>
      <c r="T48" s="13"/>
      <c r="U48" s="13"/>
      <c r="V48" s="13"/>
      <c r="W48" s="13"/>
      <c r="X48" s="13"/>
      <c r="Y48" s="13"/>
      <c r="Z48" s="13"/>
    </row>
    <row r="49" ht="15.75" customHeight="1">
      <c r="A49" s="13"/>
      <c r="B49" s="112" t="s">
        <v>99</v>
      </c>
      <c r="C49" s="113">
        <f>SUM(C46:C47)*('Assumptions (P3)'!D112+'Assumptions (P3)'!D113)</f>
        <v>726244.4794</v>
      </c>
      <c r="D49" s="114">
        <f>C49/unit_three</f>
        <v>11003.70423</v>
      </c>
      <c r="E49" s="115">
        <v>0.0</v>
      </c>
      <c r="F49" s="114">
        <f>E49/unit_three</f>
        <v>0</v>
      </c>
      <c r="G49" s="115">
        <f t="shared" si="5"/>
        <v>726244.4794</v>
      </c>
      <c r="H49" s="13"/>
      <c r="I49" s="104"/>
      <c r="J49" s="13"/>
      <c r="K49" s="13"/>
      <c r="L49" s="13"/>
      <c r="M49" s="13"/>
      <c r="N49" s="13"/>
      <c r="O49" s="13"/>
      <c r="P49" s="13"/>
      <c r="Q49" s="13"/>
      <c r="R49" s="13"/>
      <c r="S49" s="13"/>
      <c r="T49" s="13"/>
      <c r="U49" s="13"/>
      <c r="V49" s="13"/>
      <c r="W49" s="13"/>
      <c r="X49" s="13"/>
      <c r="Y49" s="13"/>
      <c r="Z49" s="13"/>
    </row>
    <row r="50" ht="15.75" customHeight="1">
      <c r="A50" s="13"/>
      <c r="B50" s="112" t="s">
        <v>100</v>
      </c>
      <c r="C50" s="113">
        <f>SUM(C46:C47)*'Assumptions (P3)'!D115</f>
        <v>518746.0567</v>
      </c>
      <c r="D50" s="114">
        <f>C50/unit_three</f>
        <v>7859.788739</v>
      </c>
      <c r="E50" s="115">
        <v>0.0</v>
      </c>
      <c r="F50" s="114">
        <f>E50/unit_three</f>
        <v>0</v>
      </c>
      <c r="G50" s="115">
        <v>0.0</v>
      </c>
      <c r="H50" s="13"/>
      <c r="I50" s="104"/>
      <c r="J50" s="95"/>
      <c r="K50" s="13"/>
      <c r="L50" s="13"/>
      <c r="M50" s="13"/>
      <c r="N50" s="13"/>
      <c r="O50" s="13"/>
      <c r="P50" s="13"/>
      <c r="Q50" s="13"/>
      <c r="R50" s="13"/>
      <c r="S50" s="13"/>
      <c r="T50" s="13"/>
      <c r="U50" s="13"/>
      <c r="V50" s="13"/>
      <c r="W50" s="13"/>
      <c r="X50" s="13"/>
      <c r="Y50" s="13"/>
      <c r="Z50" s="13"/>
    </row>
    <row r="51" ht="15.75" customHeight="1">
      <c r="A51" s="13"/>
      <c r="B51" s="112" t="s">
        <v>101</v>
      </c>
      <c r="C51" s="113">
        <f>'Assumptions (P3)'!D123</f>
        <v>592439.1111</v>
      </c>
      <c r="D51" s="114">
        <f>C51/unit_three</f>
        <v>8976.350168</v>
      </c>
      <c r="E51" s="115">
        <v>0.0</v>
      </c>
      <c r="F51" s="114">
        <f>E51/unit_three</f>
        <v>0</v>
      </c>
      <c r="G51" s="115">
        <v>0.0</v>
      </c>
      <c r="H51" s="13"/>
      <c r="I51" s="104"/>
      <c r="J51" s="95"/>
      <c r="K51" s="13"/>
      <c r="L51" s="13"/>
      <c r="M51" s="13"/>
      <c r="N51" s="13"/>
      <c r="O51" s="13"/>
      <c r="P51" s="13"/>
      <c r="Q51" s="13"/>
      <c r="R51" s="13"/>
      <c r="S51" s="13"/>
      <c r="T51" s="13"/>
      <c r="U51" s="13"/>
      <c r="V51" s="13"/>
      <c r="W51" s="13"/>
      <c r="X51" s="13"/>
      <c r="Y51" s="13"/>
      <c r="Z51" s="13"/>
    </row>
    <row r="52" ht="15.75" customHeight="1">
      <c r="A52" s="13"/>
      <c r="B52" s="116" t="s">
        <v>102</v>
      </c>
      <c r="C52" s="125">
        <v>0.0</v>
      </c>
      <c r="D52" s="114">
        <f>C52/unit_three</f>
        <v>0</v>
      </c>
      <c r="E52" s="126">
        <v>0.0</v>
      </c>
      <c r="F52" s="114">
        <f>E52/unit_three</f>
        <v>0</v>
      </c>
      <c r="G52" s="115">
        <f>C52</f>
        <v>0</v>
      </c>
      <c r="H52" s="13"/>
      <c r="I52" s="104"/>
      <c r="J52" s="95"/>
      <c r="K52" s="13"/>
      <c r="L52" s="13"/>
      <c r="M52" s="13"/>
      <c r="N52" s="13"/>
      <c r="O52" s="13"/>
      <c r="P52" s="13"/>
      <c r="Q52" s="13"/>
      <c r="R52" s="13"/>
      <c r="S52" s="13"/>
      <c r="T52" s="13"/>
      <c r="U52" s="13"/>
      <c r="V52" s="13"/>
      <c r="W52" s="13"/>
      <c r="X52" s="13"/>
      <c r="Y52" s="13"/>
      <c r="Z52" s="13"/>
    </row>
    <row r="53" ht="15.75" customHeight="1">
      <c r="A53" s="13"/>
      <c r="B53" s="117" t="s">
        <v>95</v>
      </c>
      <c r="C53" s="118">
        <f>SUM(C46:C52)</f>
        <v>12731096.84</v>
      </c>
      <c r="D53" s="118">
        <f>C53/unit_three</f>
        <v>192895.4067</v>
      </c>
      <c r="E53" s="118">
        <f>SUM(E46:E52)</f>
        <v>0</v>
      </c>
      <c r="F53" s="118">
        <f>E53/unit_three</f>
        <v>0</v>
      </c>
      <c r="G53" s="118">
        <f>SUM(G46:G52)</f>
        <v>11619911.67</v>
      </c>
      <c r="H53" s="13"/>
      <c r="I53" s="13"/>
      <c r="J53" s="13"/>
      <c r="K53" s="13"/>
      <c r="L53" s="13"/>
      <c r="M53" s="13"/>
      <c r="N53" s="13"/>
      <c r="O53" s="13"/>
      <c r="P53" s="13"/>
      <c r="Q53" s="13"/>
      <c r="R53" s="13"/>
      <c r="S53" s="13"/>
      <c r="T53" s="13"/>
      <c r="U53" s="13"/>
      <c r="V53" s="13"/>
      <c r="W53" s="13"/>
      <c r="X53" s="13"/>
      <c r="Y53" s="13"/>
      <c r="Z53" s="13"/>
    </row>
    <row r="54" ht="15.75" customHeight="1">
      <c r="A54" s="13"/>
      <c r="B54" s="127" t="s">
        <v>103</v>
      </c>
      <c r="C54" s="128">
        <f>C44+C53</f>
        <v>12731096.84</v>
      </c>
      <c r="D54" s="128">
        <f>C54/unit_three</f>
        <v>192895.4067</v>
      </c>
      <c r="E54" s="128">
        <f>E44+E53</f>
        <v>0</v>
      </c>
      <c r="F54" s="128">
        <f>E54/unit_three</f>
        <v>0</v>
      </c>
      <c r="G54" s="128">
        <f>G44+G53</f>
        <v>11619911.67</v>
      </c>
      <c r="H54" s="13"/>
      <c r="I54" s="13"/>
      <c r="J54" s="13"/>
      <c r="K54" s="13"/>
      <c r="L54" s="13"/>
      <c r="M54" s="13"/>
      <c r="N54" s="13"/>
      <c r="O54" s="13"/>
      <c r="P54" s="13"/>
      <c r="Q54" s="13"/>
      <c r="R54" s="13"/>
      <c r="S54" s="13"/>
      <c r="T54" s="13"/>
      <c r="U54" s="13"/>
      <c r="V54" s="13"/>
      <c r="W54" s="13"/>
      <c r="X54" s="13"/>
      <c r="Y54" s="13"/>
      <c r="Z54" s="13"/>
    </row>
    <row r="55" ht="15.75" customHeight="1">
      <c r="A55" s="13"/>
      <c r="B55" s="129"/>
      <c r="C55" s="130"/>
      <c r="D55" s="130"/>
      <c r="E55" s="130"/>
      <c r="F55" s="130"/>
      <c r="G55" s="130"/>
      <c r="H55" s="13"/>
      <c r="I55" s="13"/>
      <c r="J55" s="13"/>
      <c r="K55" s="13"/>
      <c r="L55" s="13"/>
      <c r="M55" s="13"/>
      <c r="N55" s="13"/>
      <c r="O55" s="13"/>
      <c r="P55" s="13"/>
      <c r="Q55" s="13"/>
      <c r="R55" s="13"/>
      <c r="S55" s="13"/>
      <c r="T55" s="13"/>
      <c r="U55" s="13"/>
      <c r="V55" s="13"/>
      <c r="W55" s="13"/>
      <c r="X55" s="13"/>
      <c r="Y55" s="13"/>
      <c r="Z55" s="13"/>
    </row>
    <row r="56" ht="15.75" customHeight="1">
      <c r="A56" s="13"/>
      <c r="B56" s="106" t="s">
        <v>104</v>
      </c>
      <c r="C56" s="107"/>
      <c r="D56" s="108"/>
      <c r="E56" s="107"/>
      <c r="F56" s="108"/>
      <c r="G56" s="107"/>
      <c r="H56" s="13"/>
      <c r="I56" s="13"/>
      <c r="J56" s="13"/>
      <c r="K56" s="13"/>
      <c r="L56" s="13"/>
      <c r="M56" s="13"/>
      <c r="N56" s="13"/>
      <c r="O56" s="13"/>
      <c r="P56" s="13"/>
      <c r="Q56" s="13"/>
      <c r="R56" s="13"/>
      <c r="S56" s="13"/>
      <c r="T56" s="13"/>
      <c r="U56" s="13"/>
      <c r="V56" s="13"/>
      <c r="W56" s="13"/>
      <c r="X56" s="13"/>
      <c r="Y56" s="13"/>
      <c r="Z56" s="13"/>
    </row>
    <row r="57" ht="15.75" customHeight="1">
      <c r="A57" s="13"/>
      <c r="B57" s="120" t="s">
        <v>105</v>
      </c>
      <c r="C57" s="121"/>
      <c r="D57" s="122"/>
      <c r="E57" s="122"/>
      <c r="F57" s="122"/>
      <c r="G57" s="122"/>
      <c r="H57" s="13"/>
      <c r="I57" s="13"/>
      <c r="J57" s="13"/>
      <c r="K57" s="13"/>
      <c r="L57" s="13"/>
      <c r="M57" s="13"/>
      <c r="N57" s="13"/>
      <c r="O57" s="13"/>
      <c r="P57" s="13"/>
      <c r="Q57" s="13"/>
      <c r="R57" s="13"/>
      <c r="S57" s="13"/>
      <c r="T57" s="13"/>
      <c r="U57" s="13"/>
      <c r="V57" s="13"/>
      <c r="W57" s="13"/>
      <c r="X57" s="13"/>
      <c r="Y57" s="13"/>
      <c r="Z57" s="13"/>
    </row>
    <row r="58" ht="15.75" customHeight="1">
      <c r="A58" s="13"/>
      <c r="B58" s="112" t="s">
        <v>106</v>
      </c>
      <c r="C58" s="113">
        <f>C53*'Assumptions (P3)'!D131</f>
        <v>194375.7879</v>
      </c>
      <c r="D58" s="114">
        <f>C58/unit_three</f>
        <v>2945.087695</v>
      </c>
      <c r="E58" s="115">
        <v>0.0</v>
      </c>
      <c r="F58" s="114">
        <f>E58/unit_three</f>
        <v>0</v>
      </c>
      <c r="G58" s="115">
        <f t="shared" ref="G58:G63" si="6">C58</f>
        <v>194375.7879</v>
      </c>
      <c r="H58" s="13"/>
      <c r="I58" s="104"/>
      <c r="J58" s="13"/>
      <c r="K58" s="13"/>
      <c r="L58" s="13"/>
      <c r="M58" s="13"/>
      <c r="N58" s="13"/>
      <c r="O58" s="13"/>
      <c r="P58" s="13"/>
      <c r="Q58" s="13"/>
      <c r="R58" s="13"/>
      <c r="S58" s="13"/>
      <c r="T58" s="13"/>
      <c r="U58" s="13"/>
      <c r="V58" s="13"/>
      <c r="W58" s="13"/>
      <c r="X58" s="13"/>
      <c r="Y58" s="13"/>
      <c r="Z58" s="13"/>
    </row>
    <row r="59" ht="15.75" customHeight="1">
      <c r="A59" s="13"/>
      <c r="B59" s="112" t="s">
        <v>107</v>
      </c>
      <c r="C59" s="113">
        <f>C53*'Assumptions (P3)'!D132</f>
        <v>26470.84345</v>
      </c>
      <c r="D59" s="114">
        <f>C59/unit_three</f>
        <v>401.0733856</v>
      </c>
      <c r="E59" s="115">
        <v>0.0</v>
      </c>
      <c r="F59" s="114">
        <f>E59/unit_three</f>
        <v>0</v>
      </c>
      <c r="G59" s="115">
        <f t="shared" si="6"/>
        <v>26470.84345</v>
      </c>
      <c r="H59" s="13"/>
      <c r="I59" s="104"/>
      <c r="J59" s="13"/>
      <c r="K59" s="13"/>
      <c r="L59" s="13"/>
      <c r="M59" s="13"/>
      <c r="N59" s="13"/>
      <c r="O59" s="13"/>
      <c r="P59" s="13"/>
      <c r="Q59" s="13"/>
      <c r="R59" s="13"/>
      <c r="S59" s="13"/>
      <c r="T59" s="13"/>
      <c r="U59" s="13"/>
      <c r="V59" s="13"/>
      <c r="W59" s="13"/>
      <c r="X59" s="13"/>
      <c r="Y59" s="13"/>
      <c r="Z59" s="13"/>
    </row>
    <row r="60" ht="15.75" customHeight="1">
      <c r="A60" s="13"/>
      <c r="B60" s="112" t="s">
        <v>108</v>
      </c>
      <c r="C60" s="113">
        <f>C53*'Assumptions (P3)'!D133</f>
        <v>35763.12991</v>
      </c>
      <c r="D60" s="114">
        <f>C60/unit_three</f>
        <v>541.8656046</v>
      </c>
      <c r="E60" s="115">
        <v>0.0</v>
      </c>
      <c r="F60" s="114">
        <f>E60/unit_three</f>
        <v>0</v>
      </c>
      <c r="G60" s="115">
        <f t="shared" si="6"/>
        <v>35763.12991</v>
      </c>
      <c r="H60" s="13"/>
      <c r="I60" s="104"/>
      <c r="J60" s="13"/>
      <c r="K60" s="13"/>
      <c r="L60" s="13"/>
      <c r="M60" s="13"/>
      <c r="N60" s="13"/>
      <c r="O60" s="13"/>
      <c r="P60" s="13"/>
      <c r="Q60" s="13"/>
      <c r="R60" s="13"/>
      <c r="S60" s="13"/>
      <c r="T60" s="13"/>
      <c r="U60" s="13"/>
      <c r="V60" s="13"/>
      <c r="W60" s="13"/>
      <c r="X60" s="13"/>
      <c r="Y60" s="13"/>
      <c r="Z60" s="13"/>
    </row>
    <row r="61" ht="15.75" customHeight="1">
      <c r="A61" s="13"/>
      <c r="B61" s="112" t="s">
        <v>102</v>
      </c>
      <c r="C61" s="113">
        <v>0.0</v>
      </c>
      <c r="D61" s="114">
        <f>C61/unit_three</f>
        <v>0</v>
      </c>
      <c r="E61" s="115">
        <v>0.0</v>
      </c>
      <c r="F61" s="114">
        <f>E61/unit_three</f>
        <v>0</v>
      </c>
      <c r="G61" s="115">
        <f t="shared" si="6"/>
        <v>0</v>
      </c>
      <c r="H61" s="13"/>
      <c r="I61" s="104"/>
      <c r="J61" s="95"/>
      <c r="K61" s="13"/>
      <c r="L61" s="13"/>
      <c r="M61" s="13"/>
      <c r="N61" s="13"/>
      <c r="O61" s="13"/>
      <c r="P61" s="13"/>
      <c r="Q61" s="13"/>
      <c r="R61" s="13"/>
      <c r="S61" s="13"/>
      <c r="T61" s="13"/>
      <c r="U61" s="13"/>
      <c r="V61" s="13"/>
      <c r="W61" s="13"/>
      <c r="X61" s="13"/>
      <c r="Y61" s="13"/>
      <c r="Z61" s="13"/>
    </row>
    <row r="62" ht="15.75" customHeight="1">
      <c r="A62" s="13"/>
      <c r="B62" s="112" t="s">
        <v>102</v>
      </c>
      <c r="C62" s="113">
        <v>0.0</v>
      </c>
      <c r="D62" s="114">
        <f>C62/unit_three</f>
        <v>0</v>
      </c>
      <c r="E62" s="115">
        <v>0.0</v>
      </c>
      <c r="F62" s="114">
        <f>E62/unit_three</f>
        <v>0</v>
      </c>
      <c r="G62" s="115">
        <f t="shared" si="6"/>
        <v>0</v>
      </c>
      <c r="H62" s="13"/>
      <c r="I62" s="104"/>
      <c r="J62" s="95"/>
      <c r="K62" s="13"/>
      <c r="L62" s="13"/>
      <c r="M62" s="13"/>
      <c r="N62" s="13"/>
      <c r="O62" s="13"/>
      <c r="P62" s="13"/>
      <c r="Q62" s="13"/>
      <c r="R62" s="13"/>
      <c r="S62" s="13"/>
      <c r="T62" s="13"/>
      <c r="U62" s="13"/>
      <c r="V62" s="13"/>
      <c r="W62" s="13"/>
      <c r="X62" s="13"/>
      <c r="Y62" s="13"/>
      <c r="Z62" s="13"/>
    </row>
    <row r="63" ht="15.75" customHeight="1">
      <c r="A63" s="13"/>
      <c r="B63" s="116" t="s">
        <v>102</v>
      </c>
      <c r="C63" s="125">
        <v>0.0</v>
      </c>
      <c r="D63" s="114">
        <f>C63/unit_three</f>
        <v>0</v>
      </c>
      <c r="E63" s="126">
        <v>0.0</v>
      </c>
      <c r="F63" s="114">
        <f>E63/unit_three</f>
        <v>0</v>
      </c>
      <c r="G63" s="115">
        <f t="shared" si="6"/>
        <v>0</v>
      </c>
      <c r="H63" s="13"/>
      <c r="I63" s="104"/>
      <c r="J63" s="95"/>
      <c r="K63" s="13"/>
      <c r="L63" s="13"/>
      <c r="M63" s="13"/>
      <c r="N63" s="13"/>
      <c r="O63" s="13"/>
      <c r="P63" s="13"/>
      <c r="Q63" s="13"/>
      <c r="R63" s="13"/>
      <c r="S63" s="13"/>
      <c r="T63" s="13"/>
      <c r="U63" s="13"/>
      <c r="V63" s="13"/>
      <c r="W63" s="13"/>
      <c r="X63" s="13"/>
      <c r="Y63" s="13"/>
      <c r="Z63" s="13"/>
    </row>
    <row r="64" ht="15.75" customHeight="1">
      <c r="A64" s="13"/>
      <c r="B64" s="117" t="s">
        <v>95</v>
      </c>
      <c r="C64" s="118">
        <f>SUM(C57:C63)</f>
        <v>256609.7612</v>
      </c>
      <c r="D64" s="118">
        <f>C64/unit_three</f>
        <v>3888.026685</v>
      </c>
      <c r="E64" s="118">
        <f>SUM(E57:E63)</f>
        <v>0</v>
      </c>
      <c r="F64" s="118">
        <f>E64/unit_three</f>
        <v>0</v>
      </c>
      <c r="G64" s="118">
        <f>SUM(G57:G63)</f>
        <v>256609.7612</v>
      </c>
      <c r="H64" s="13"/>
      <c r="I64" s="13"/>
      <c r="J64" s="13"/>
      <c r="K64" s="13"/>
      <c r="L64" s="13"/>
      <c r="M64" s="13"/>
      <c r="N64" s="13"/>
      <c r="O64" s="13"/>
      <c r="P64" s="13"/>
      <c r="Q64" s="13"/>
      <c r="R64" s="13"/>
      <c r="S64" s="13"/>
      <c r="T64" s="13"/>
      <c r="U64" s="13"/>
      <c r="V64" s="13"/>
      <c r="W64" s="13"/>
      <c r="X64" s="13"/>
      <c r="Y64" s="13"/>
      <c r="Z64" s="13"/>
    </row>
    <row r="65" ht="15.75" customHeight="1">
      <c r="A65" s="13"/>
      <c r="B65" s="120" t="s">
        <v>543</v>
      </c>
      <c r="C65" s="132"/>
      <c r="D65" s="133"/>
      <c r="E65" s="133"/>
      <c r="F65" s="133"/>
      <c r="G65" s="133"/>
      <c r="H65" s="13"/>
      <c r="I65" s="13"/>
      <c r="J65" s="13"/>
      <c r="K65" s="13"/>
      <c r="L65" s="13"/>
      <c r="M65" s="13"/>
      <c r="N65" s="13"/>
      <c r="O65" s="13"/>
      <c r="P65" s="13"/>
      <c r="Q65" s="13"/>
      <c r="R65" s="13"/>
      <c r="S65" s="13"/>
      <c r="T65" s="13"/>
      <c r="U65" s="13"/>
      <c r="V65" s="13"/>
      <c r="W65" s="13"/>
      <c r="X65" s="13"/>
      <c r="Y65" s="13"/>
      <c r="Z65" s="13"/>
    </row>
    <row r="66" ht="15.75" customHeight="1">
      <c r="A66" s="13"/>
      <c r="B66" s="134" t="s">
        <v>110</v>
      </c>
      <c r="C66" s="135">
        <f>'Loan Sizing (P3)'!D53</f>
        <v>3085.757879</v>
      </c>
      <c r="D66" s="136">
        <f>C66/unit_three</f>
        <v>46.75390725</v>
      </c>
      <c r="E66" s="115">
        <v>0.0</v>
      </c>
      <c r="F66" s="136">
        <v>0.0</v>
      </c>
      <c r="G66" s="115">
        <f t="shared" ref="G66:G67" si="7">C66</f>
        <v>3085.757879</v>
      </c>
      <c r="H66" s="13"/>
      <c r="I66" s="13"/>
      <c r="J66" s="13"/>
      <c r="K66" s="13"/>
      <c r="L66" s="13"/>
      <c r="M66" s="13"/>
      <c r="N66" s="13"/>
      <c r="O66" s="13"/>
      <c r="P66" s="13"/>
      <c r="Q66" s="13"/>
      <c r="R66" s="13"/>
      <c r="S66" s="13"/>
      <c r="T66" s="13"/>
      <c r="U66" s="13"/>
      <c r="V66" s="13"/>
      <c r="W66" s="13"/>
      <c r="X66" s="13"/>
      <c r="Y66" s="13"/>
      <c r="Z66" s="13"/>
    </row>
    <row r="67" ht="15.75" customHeight="1">
      <c r="A67" s="13"/>
      <c r="B67" s="134" t="s">
        <v>111</v>
      </c>
      <c r="C67" s="113">
        <f>'Loan Sizing (P3)'!D50</f>
        <v>15428.78939</v>
      </c>
      <c r="D67" s="136">
        <f>C67/unit_three</f>
        <v>233.7695363</v>
      </c>
      <c r="E67" s="115">
        <v>0.0</v>
      </c>
      <c r="F67" s="136">
        <v>0.0</v>
      </c>
      <c r="G67" s="115">
        <f t="shared" si="7"/>
        <v>15428.78939</v>
      </c>
      <c r="H67" s="13"/>
      <c r="I67" s="13"/>
      <c r="J67" s="13"/>
      <c r="K67" s="13"/>
      <c r="L67" s="13"/>
      <c r="M67" s="13"/>
      <c r="N67" s="13"/>
      <c r="O67" s="13"/>
      <c r="P67" s="13"/>
      <c r="Q67" s="13"/>
      <c r="R67" s="13"/>
      <c r="S67" s="13"/>
      <c r="T67" s="13"/>
      <c r="U67" s="13"/>
      <c r="V67" s="13"/>
      <c r="W67" s="13"/>
      <c r="X67" s="13"/>
      <c r="Y67" s="13"/>
      <c r="Z67" s="13"/>
    </row>
    <row r="68" ht="15.75" customHeight="1">
      <c r="A68" s="13"/>
      <c r="B68" s="120" t="s">
        <v>112</v>
      </c>
      <c r="C68" s="121"/>
      <c r="D68" s="137"/>
      <c r="E68" s="122"/>
      <c r="F68" s="137"/>
      <c r="G68" s="122"/>
      <c r="H68" s="13"/>
      <c r="I68" s="13"/>
      <c r="J68" s="13"/>
      <c r="K68" s="13"/>
      <c r="L68" s="13"/>
      <c r="M68" s="13"/>
      <c r="N68" s="13"/>
      <c r="O68" s="13"/>
      <c r="P68" s="13"/>
      <c r="Q68" s="13"/>
      <c r="R68" s="13"/>
      <c r="S68" s="13"/>
      <c r="T68" s="13"/>
      <c r="U68" s="13"/>
      <c r="V68" s="13"/>
      <c r="W68" s="13"/>
      <c r="X68" s="13"/>
      <c r="Y68" s="13"/>
      <c r="Z68" s="13"/>
    </row>
    <row r="69" ht="15.75" customHeight="1">
      <c r="A69" s="13"/>
      <c r="B69" s="112" t="s">
        <v>113</v>
      </c>
      <c r="C69" s="113">
        <f>'Loan Sizing (P3)'!D25*'Assumptions (P3)'!D136</f>
        <v>116889.3594</v>
      </c>
      <c r="D69" s="114">
        <f>C69/unit_three</f>
        <v>1771.0509</v>
      </c>
      <c r="E69" s="115">
        <v>0.0</v>
      </c>
      <c r="F69" s="114">
        <f>E69/unit_three</f>
        <v>0</v>
      </c>
      <c r="G69" s="115">
        <f t="shared" ref="G69:G77" si="8">C69</f>
        <v>116889.3594</v>
      </c>
      <c r="H69" s="13"/>
      <c r="I69" s="104"/>
      <c r="J69" s="13"/>
      <c r="K69" s="13"/>
      <c r="L69" s="13"/>
      <c r="M69" s="13"/>
      <c r="N69" s="13"/>
      <c r="O69" s="13"/>
      <c r="P69" s="13"/>
      <c r="Q69" s="13"/>
      <c r="R69" s="13"/>
      <c r="S69" s="13"/>
      <c r="T69" s="13"/>
      <c r="U69" s="13"/>
      <c r="V69" s="13"/>
      <c r="W69" s="13"/>
      <c r="X69" s="13"/>
      <c r="Y69" s="13"/>
      <c r="Z69" s="13"/>
    </row>
    <row r="70" ht="15.75" customHeight="1">
      <c r="A70" s="13"/>
      <c r="B70" s="112" t="s">
        <v>114</v>
      </c>
      <c r="C70" s="113">
        <f>'Assumptions (P3)'!D137</f>
        <v>1121698.923</v>
      </c>
      <c r="D70" s="114">
        <f>C70/unit_three</f>
        <v>16995.43822</v>
      </c>
      <c r="E70" s="115">
        <v>0.0</v>
      </c>
      <c r="F70" s="114">
        <f>E70/unit_three</f>
        <v>0</v>
      </c>
      <c r="G70" s="115">
        <f t="shared" si="8"/>
        <v>1121698.923</v>
      </c>
      <c r="H70" s="13"/>
      <c r="I70" s="104"/>
      <c r="J70" s="13"/>
      <c r="K70" s="13"/>
      <c r="L70" s="13"/>
      <c r="M70" s="13"/>
      <c r="N70" s="13"/>
      <c r="O70" s="13"/>
      <c r="P70" s="13"/>
      <c r="Q70" s="13"/>
      <c r="R70" s="13"/>
      <c r="S70" s="13"/>
      <c r="T70" s="13"/>
      <c r="U70" s="13"/>
      <c r="V70" s="13"/>
      <c r="W70" s="13"/>
      <c r="X70" s="13"/>
      <c r="Y70" s="13"/>
      <c r="Z70" s="13"/>
    </row>
    <row r="71" ht="15.75" customHeight="1">
      <c r="A71" s="13"/>
      <c r="B71" s="112" t="s">
        <v>115</v>
      </c>
      <c r="C71" s="113">
        <f>'Assumptions (P3)'!D138*'Sources &amp; Uses (P3)'!$C$53</f>
        <v>42350.71753</v>
      </c>
      <c r="D71" s="114">
        <f>C71/unit_three</f>
        <v>641.6775384</v>
      </c>
      <c r="E71" s="115">
        <v>0.0</v>
      </c>
      <c r="F71" s="114">
        <f>E71/unit_three</f>
        <v>0</v>
      </c>
      <c r="G71" s="115">
        <f t="shared" si="8"/>
        <v>42350.71753</v>
      </c>
      <c r="H71" s="13"/>
      <c r="I71" s="104"/>
      <c r="J71" s="13"/>
      <c r="K71" s="13"/>
      <c r="L71" s="13"/>
      <c r="M71" s="13"/>
      <c r="N71" s="13"/>
      <c r="O71" s="13"/>
      <c r="P71" s="13"/>
      <c r="Q71" s="13"/>
      <c r="R71" s="13"/>
      <c r="S71" s="13"/>
      <c r="T71" s="13"/>
      <c r="U71" s="13"/>
      <c r="V71" s="13"/>
      <c r="W71" s="13"/>
      <c r="X71" s="13"/>
      <c r="Y71" s="13"/>
      <c r="Z71" s="13"/>
    </row>
    <row r="72" ht="15.75" customHeight="1">
      <c r="A72" s="13"/>
      <c r="B72" s="112" t="s">
        <v>117</v>
      </c>
      <c r="C72" s="113">
        <f>'Assumptions (P3)'!D140</f>
        <v>75000</v>
      </c>
      <c r="D72" s="114">
        <f>C72/unit_three</f>
        <v>1136.363636</v>
      </c>
      <c r="E72" s="115">
        <v>0.0</v>
      </c>
      <c r="F72" s="114">
        <f>E72/unit_three</f>
        <v>0</v>
      </c>
      <c r="G72" s="115">
        <f t="shared" si="8"/>
        <v>75000</v>
      </c>
      <c r="H72" s="13"/>
      <c r="I72" s="104"/>
      <c r="J72" s="13"/>
      <c r="K72" s="13"/>
      <c r="L72" s="13"/>
      <c r="M72" s="13"/>
      <c r="N72" s="13"/>
      <c r="O72" s="13"/>
      <c r="P72" s="13"/>
      <c r="Q72" s="13"/>
      <c r="R72" s="13"/>
      <c r="S72" s="13"/>
      <c r="T72" s="13"/>
      <c r="U72" s="13"/>
      <c r="V72" s="13"/>
      <c r="W72" s="13"/>
      <c r="X72" s="13"/>
      <c r="Y72" s="13"/>
      <c r="Z72" s="13"/>
    </row>
    <row r="73" ht="15.75" customHeight="1">
      <c r="A73" s="13"/>
      <c r="B73" s="112" t="s">
        <v>118</v>
      </c>
      <c r="C73" s="113">
        <f>'Assumptions (P3)'!D141</f>
        <v>32651.98511</v>
      </c>
      <c r="D73" s="114">
        <f>C73/unit_three</f>
        <v>494.7270471</v>
      </c>
      <c r="E73" s="115">
        <v>0.0</v>
      </c>
      <c r="F73" s="114">
        <f>E73/unit_three</f>
        <v>0</v>
      </c>
      <c r="G73" s="115">
        <f t="shared" si="8"/>
        <v>32651.98511</v>
      </c>
      <c r="H73" s="58"/>
      <c r="I73" s="104"/>
      <c r="J73" s="13"/>
      <c r="K73" s="13"/>
      <c r="L73" s="13"/>
      <c r="M73" s="13"/>
      <c r="N73" s="13"/>
      <c r="O73" s="13"/>
      <c r="P73" s="13"/>
      <c r="Q73" s="13"/>
      <c r="R73" s="13"/>
      <c r="S73" s="13"/>
      <c r="T73" s="13"/>
      <c r="U73" s="13"/>
      <c r="V73" s="13"/>
      <c r="W73" s="13"/>
      <c r="X73" s="13"/>
      <c r="Y73" s="13"/>
      <c r="Z73" s="13"/>
    </row>
    <row r="74" ht="15.75" customHeight="1">
      <c r="A74" s="13"/>
      <c r="B74" s="112" t="str">
        <f>'Assumptions (P3)'!C142</f>
        <v>Construction Period Inspection Fees</v>
      </c>
      <c r="C74" s="125">
        <f>'Assumptions (P3)'!D142</f>
        <v>20000</v>
      </c>
      <c r="D74" s="114">
        <f>C74/unit_three</f>
        <v>303.030303</v>
      </c>
      <c r="E74" s="115">
        <v>0.0</v>
      </c>
      <c r="F74" s="114">
        <f>E74/unit_three</f>
        <v>0</v>
      </c>
      <c r="G74" s="115">
        <f t="shared" si="8"/>
        <v>20000</v>
      </c>
      <c r="H74" s="13"/>
      <c r="I74" s="104"/>
      <c r="J74" s="95"/>
      <c r="K74" s="13"/>
      <c r="L74" s="13"/>
      <c r="M74" s="13"/>
      <c r="N74" s="13"/>
      <c r="O74" s="13"/>
      <c r="P74" s="13"/>
      <c r="Q74" s="13"/>
      <c r="R74" s="13"/>
      <c r="S74" s="13"/>
      <c r="T74" s="13"/>
      <c r="U74" s="13"/>
      <c r="V74" s="13"/>
      <c r="W74" s="13"/>
      <c r="X74" s="13"/>
      <c r="Y74" s="13"/>
      <c r="Z74" s="13"/>
    </row>
    <row r="75" ht="15.75" customHeight="1">
      <c r="A75" s="13"/>
      <c r="B75" s="112" t="str">
        <f>'Assumptions (P3)'!C143</f>
        <v>Loan Documentation Fees</v>
      </c>
      <c r="C75" s="125">
        <f>'Assumptions (P3)'!D143</f>
        <v>20000</v>
      </c>
      <c r="D75" s="114">
        <f>C75/unit_three</f>
        <v>303.030303</v>
      </c>
      <c r="E75" s="115">
        <v>0.0</v>
      </c>
      <c r="F75" s="114">
        <f>E75/unit_three</f>
        <v>0</v>
      </c>
      <c r="G75" s="115">
        <f t="shared" si="8"/>
        <v>20000</v>
      </c>
      <c r="H75" s="13"/>
      <c r="I75" s="104"/>
      <c r="J75" s="95"/>
      <c r="K75" s="13"/>
      <c r="L75" s="13"/>
      <c r="M75" s="13"/>
      <c r="N75" s="13"/>
      <c r="O75" s="13"/>
      <c r="P75" s="13"/>
      <c r="Q75" s="13"/>
      <c r="R75" s="13"/>
      <c r="S75" s="13"/>
      <c r="T75" s="13"/>
      <c r="U75" s="13"/>
      <c r="V75" s="13"/>
      <c r="W75" s="13"/>
      <c r="X75" s="13"/>
      <c r="Y75" s="13"/>
      <c r="Z75" s="13"/>
    </row>
    <row r="76" ht="15.75" customHeight="1">
      <c r="A76" s="13"/>
      <c r="B76" s="112" t="str">
        <f>'Assumptions (P3)'!C144</f>
        <v>Cons. Loan Application Fee</v>
      </c>
      <c r="C76" s="125">
        <f>'Assumptions (P3)'!D144</f>
        <v>500</v>
      </c>
      <c r="D76" s="114">
        <f>C76/unit_three</f>
        <v>7.575757576</v>
      </c>
      <c r="E76" s="126">
        <v>0.0</v>
      </c>
      <c r="F76" s="114">
        <f>E76/unit_three</f>
        <v>0</v>
      </c>
      <c r="G76" s="115">
        <f t="shared" si="8"/>
        <v>500</v>
      </c>
      <c r="H76" s="13"/>
      <c r="I76" s="104"/>
      <c r="J76" s="95"/>
      <c r="K76" s="13"/>
      <c r="L76" s="13"/>
      <c r="M76" s="13"/>
      <c r="N76" s="13"/>
      <c r="O76" s="13"/>
      <c r="P76" s="13"/>
      <c r="Q76" s="13"/>
      <c r="R76" s="13"/>
      <c r="S76" s="13"/>
      <c r="T76" s="13"/>
      <c r="U76" s="13"/>
      <c r="V76" s="13"/>
      <c r="W76" s="13"/>
      <c r="X76" s="13"/>
      <c r="Y76" s="13"/>
      <c r="Z76" s="13"/>
    </row>
    <row r="77" ht="15.75" customHeight="1">
      <c r="A77" s="13"/>
      <c r="B77" s="112" t="str">
        <f>'Assumptions (P3)'!C145</f>
        <v>Impact Fees</v>
      </c>
      <c r="C77" s="125">
        <f>'Assumptions (P3)'!D145</f>
        <v>75823.44491</v>
      </c>
      <c r="D77" s="114">
        <f>C77/unit_three</f>
        <v>1148.840074</v>
      </c>
      <c r="E77" s="126">
        <v>0.0</v>
      </c>
      <c r="F77" s="114">
        <f>E77/unit_three</f>
        <v>0</v>
      </c>
      <c r="G77" s="115">
        <f t="shared" si="8"/>
        <v>75823.44491</v>
      </c>
      <c r="H77" s="13"/>
      <c r="I77" s="104"/>
      <c r="J77" s="95"/>
      <c r="K77" s="13"/>
      <c r="L77" s="13"/>
      <c r="M77" s="13"/>
      <c r="N77" s="13"/>
      <c r="O77" s="13"/>
      <c r="P77" s="13"/>
      <c r="Q77" s="13"/>
      <c r="R77" s="13"/>
      <c r="S77" s="13"/>
      <c r="T77" s="13"/>
      <c r="U77" s="13"/>
      <c r="V77" s="13"/>
      <c r="W77" s="13"/>
      <c r="X77" s="13"/>
      <c r="Y77" s="13"/>
      <c r="Z77" s="13"/>
    </row>
    <row r="78" ht="15.75" customHeight="1">
      <c r="A78" s="13"/>
      <c r="B78" s="117" t="s">
        <v>95</v>
      </c>
      <c r="C78" s="118">
        <f>SUM(C68:C77)</f>
        <v>1504914.43</v>
      </c>
      <c r="D78" s="118">
        <f>C78/unit_three</f>
        <v>22801.73378</v>
      </c>
      <c r="E78" s="118">
        <f>SUM(E68:E77)</f>
        <v>0</v>
      </c>
      <c r="F78" s="118">
        <f>E78/unit_three</f>
        <v>0</v>
      </c>
      <c r="G78" s="118">
        <f>SUM(G68:G77)</f>
        <v>1504914.43</v>
      </c>
      <c r="H78" s="13"/>
      <c r="I78" s="13"/>
      <c r="J78" s="13"/>
      <c r="K78" s="13"/>
      <c r="L78" s="13"/>
      <c r="M78" s="13"/>
      <c r="N78" s="13"/>
      <c r="O78" s="13"/>
      <c r="P78" s="13"/>
      <c r="Q78" s="13"/>
      <c r="R78" s="13"/>
      <c r="S78" s="13"/>
      <c r="T78" s="13"/>
      <c r="U78" s="13"/>
      <c r="V78" s="13"/>
      <c r="W78" s="13"/>
      <c r="X78" s="13"/>
      <c r="Y78" s="13"/>
      <c r="Z78" s="13"/>
    </row>
    <row r="79" ht="15.75" customHeight="1">
      <c r="A79" s="13"/>
      <c r="B79" s="120" t="s">
        <v>119</v>
      </c>
      <c r="C79" s="121"/>
      <c r="D79" s="137"/>
      <c r="E79" s="122"/>
      <c r="F79" s="137"/>
      <c r="G79" s="122"/>
      <c r="H79" s="13"/>
      <c r="I79" s="13"/>
      <c r="J79" s="13"/>
      <c r="K79" s="13"/>
      <c r="L79" s="13"/>
      <c r="M79" s="13"/>
      <c r="N79" s="13"/>
      <c r="O79" s="13"/>
      <c r="P79" s="13"/>
      <c r="Q79" s="13"/>
      <c r="R79" s="13"/>
      <c r="S79" s="13"/>
      <c r="T79" s="13"/>
      <c r="U79" s="13"/>
      <c r="V79" s="13"/>
      <c r="W79" s="13"/>
      <c r="X79" s="13"/>
      <c r="Y79" s="13"/>
      <c r="Z79" s="13"/>
    </row>
    <row r="80" ht="15.75" customHeight="1">
      <c r="A80" s="13"/>
      <c r="B80" s="112" t="s">
        <v>544</v>
      </c>
      <c r="C80" s="113">
        <f>'Loan Sizing (P3)'!D14*'Assumptions (P3)'!D148</f>
        <v>55103.50031</v>
      </c>
      <c r="D80" s="114">
        <f>C80/unit_three</f>
        <v>834.9015198</v>
      </c>
      <c r="E80" s="115">
        <v>0.0</v>
      </c>
      <c r="F80" s="114">
        <f>E80/unit_three</f>
        <v>0</v>
      </c>
      <c r="G80" s="115">
        <v>0.0</v>
      </c>
      <c r="H80" s="13"/>
      <c r="I80" s="104"/>
      <c r="J80" s="13"/>
      <c r="K80" s="13"/>
      <c r="L80" s="13"/>
      <c r="M80" s="13"/>
      <c r="N80" s="13"/>
      <c r="O80" s="13"/>
      <c r="P80" s="13"/>
      <c r="Q80" s="13"/>
      <c r="R80" s="13"/>
      <c r="S80" s="13"/>
      <c r="T80" s="13"/>
      <c r="U80" s="13"/>
      <c r="V80" s="13"/>
      <c r="W80" s="13"/>
      <c r="X80" s="13"/>
      <c r="Y80" s="13"/>
      <c r="Z80" s="13"/>
    </row>
    <row r="81" ht="15.75" customHeight="1">
      <c r="A81" s="13"/>
      <c r="B81" s="112" t="s">
        <v>120</v>
      </c>
      <c r="C81" s="113">
        <f>'Assumptions (P3)'!D149</f>
        <v>3630</v>
      </c>
      <c r="D81" s="114">
        <f>C81/unit_three</f>
        <v>55</v>
      </c>
      <c r="E81" s="115">
        <v>0.0</v>
      </c>
      <c r="F81" s="114">
        <f>E81/unit_three</f>
        <v>0</v>
      </c>
      <c r="G81" s="115">
        <v>0.0</v>
      </c>
      <c r="H81" s="58"/>
      <c r="I81" s="104"/>
      <c r="J81" s="13"/>
      <c r="K81" s="13"/>
      <c r="L81" s="13"/>
      <c r="M81" s="13"/>
      <c r="N81" s="13"/>
      <c r="O81" s="13"/>
      <c r="P81" s="13"/>
      <c r="Q81" s="13"/>
      <c r="R81" s="13"/>
      <c r="S81" s="13"/>
      <c r="T81" s="13"/>
      <c r="U81" s="13"/>
      <c r="V81" s="13"/>
      <c r="W81" s="13"/>
      <c r="X81" s="13"/>
      <c r="Y81" s="13"/>
      <c r="Z81" s="13"/>
    </row>
    <row r="82" ht="15.75" customHeight="1">
      <c r="A82" s="13"/>
      <c r="B82" s="112" t="s">
        <v>121</v>
      </c>
      <c r="C82" s="113">
        <f>'Assumptions (P3)'!D150*1727563+'Assumptions (P3)'!D151*600000</f>
        <v>101378.15</v>
      </c>
      <c r="D82" s="114">
        <f>C82/unit_three</f>
        <v>1536.032576</v>
      </c>
      <c r="E82" s="115">
        <v>0.0</v>
      </c>
      <c r="F82" s="114">
        <f>E82/unit_three</f>
        <v>0</v>
      </c>
      <c r="G82" s="115">
        <v>0.0</v>
      </c>
      <c r="H82" s="13"/>
      <c r="I82" s="104"/>
      <c r="J82" s="13"/>
      <c r="K82" s="13"/>
      <c r="L82" s="13"/>
      <c r="M82" s="13"/>
      <c r="N82" s="13"/>
      <c r="O82" s="13"/>
      <c r="P82" s="13"/>
      <c r="Q82" s="13"/>
      <c r="R82" s="13"/>
      <c r="S82" s="13"/>
      <c r="T82" s="13"/>
      <c r="U82" s="13"/>
      <c r="V82" s="13"/>
      <c r="W82" s="13"/>
      <c r="X82" s="13"/>
      <c r="Y82" s="13"/>
      <c r="Z82" s="13"/>
    </row>
    <row r="83" ht="15.75" customHeight="1">
      <c r="A83" s="13"/>
      <c r="B83" s="112" t="s">
        <v>122</v>
      </c>
      <c r="C83" s="113">
        <f>'Assumptions (P3)'!D152</f>
        <v>2500</v>
      </c>
      <c r="D83" s="114">
        <f>C83/unit_three</f>
        <v>37.87878788</v>
      </c>
      <c r="E83" s="115">
        <v>0.0</v>
      </c>
      <c r="F83" s="114">
        <f>E83/unit_three</f>
        <v>0</v>
      </c>
      <c r="G83" s="115">
        <v>0.0</v>
      </c>
      <c r="H83" s="13"/>
      <c r="I83" s="104"/>
      <c r="J83" s="13"/>
      <c r="K83" s="13"/>
      <c r="L83" s="13"/>
      <c r="M83" s="13"/>
      <c r="N83" s="13"/>
      <c r="O83" s="13"/>
      <c r="P83" s="13"/>
      <c r="Q83" s="13"/>
      <c r="R83" s="13"/>
      <c r="S83" s="13"/>
      <c r="T83" s="13"/>
      <c r="U83" s="13"/>
      <c r="V83" s="13"/>
      <c r="W83" s="13"/>
      <c r="X83" s="13"/>
      <c r="Y83" s="13"/>
      <c r="Z83" s="13"/>
    </row>
    <row r="84" ht="15.75" customHeight="1">
      <c r="A84" s="13"/>
      <c r="B84" s="112" t="s">
        <v>516</v>
      </c>
      <c r="C84" s="113">
        <f>'Assumptions (P3)'!D153</f>
        <v>50000</v>
      </c>
      <c r="D84" s="114">
        <f>C84/unit_three</f>
        <v>757.5757576</v>
      </c>
      <c r="E84" s="115">
        <v>0.0</v>
      </c>
      <c r="F84" s="114">
        <f>E84/unit_three</f>
        <v>0</v>
      </c>
      <c r="G84" s="115">
        <v>0.0</v>
      </c>
      <c r="H84" s="13"/>
      <c r="I84" s="104"/>
      <c r="J84" s="13"/>
      <c r="K84" s="13"/>
      <c r="L84" s="13"/>
      <c r="M84" s="13"/>
      <c r="N84" s="13"/>
      <c r="O84" s="13"/>
      <c r="P84" s="13"/>
      <c r="Q84" s="13"/>
      <c r="R84" s="13"/>
      <c r="S84" s="13"/>
      <c r="T84" s="13"/>
      <c r="U84" s="13"/>
      <c r="V84" s="13"/>
      <c r="W84" s="13"/>
      <c r="X84" s="13"/>
      <c r="Y84" s="13"/>
      <c r="Z84" s="13"/>
    </row>
    <row r="85" ht="15.75" customHeight="1">
      <c r="A85" s="13"/>
      <c r="B85" s="112" t="s">
        <v>125</v>
      </c>
      <c r="C85" s="113">
        <f>'Assumptions (P3)'!D154</f>
        <v>32500</v>
      </c>
      <c r="D85" s="114">
        <f>C85/unit_three</f>
        <v>492.4242424</v>
      </c>
      <c r="E85" s="115">
        <v>0.0</v>
      </c>
      <c r="F85" s="114">
        <f>E85/unit_three</f>
        <v>0</v>
      </c>
      <c r="G85" s="115">
        <v>0.0</v>
      </c>
      <c r="H85" s="13"/>
      <c r="I85" s="104"/>
      <c r="J85" s="13"/>
      <c r="K85" s="13"/>
      <c r="L85" s="13"/>
      <c r="M85" s="13"/>
      <c r="N85" s="13"/>
      <c r="O85" s="13"/>
      <c r="P85" s="13"/>
      <c r="Q85" s="13"/>
      <c r="R85" s="13"/>
      <c r="S85" s="13"/>
      <c r="T85" s="13"/>
      <c r="U85" s="13"/>
      <c r="V85" s="13"/>
      <c r="W85" s="13"/>
      <c r="X85" s="13"/>
      <c r="Y85" s="13"/>
      <c r="Z85" s="13"/>
    </row>
    <row r="86" ht="15.75" customHeight="1">
      <c r="A86" s="13"/>
      <c r="B86" s="112" t="s">
        <v>126</v>
      </c>
      <c r="C86" s="113">
        <f>'Assumptions (P3)'!D155</f>
        <v>10000</v>
      </c>
      <c r="D86" s="114">
        <f>C86/unit_three</f>
        <v>151.5151515</v>
      </c>
      <c r="E86" s="115">
        <v>0.0</v>
      </c>
      <c r="F86" s="114">
        <f>E86/unit_three</f>
        <v>0</v>
      </c>
      <c r="G86" s="115">
        <v>0.0</v>
      </c>
      <c r="H86" s="13"/>
      <c r="I86" s="104"/>
      <c r="J86" s="13"/>
      <c r="K86" s="13"/>
      <c r="L86" s="13"/>
      <c r="M86" s="13"/>
      <c r="N86" s="13"/>
      <c r="O86" s="13"/>
      <c r="P86" s="13"/>
      <c r="Q86" s="13"/>
      <c r="R86" s="13"/>
      <c r="S86" s="13"/>
      <c r="T86" s="13"/>
      <c r="U86" s="13"/>
      <c r="V86" s="13"/>
      <c r="W86" s="13"/>
      <c r="X86" s="13"/>
      <c r="Y86" s="13"/>
      <c r="Z86" s="13"/>
    </row>
    <row r="87" ht="15.75" customHeight="1">
      <c r="A87" s="13"/>
      <c r="B87" s="112" t="s">
        <v>127</v>
      </c>
      <c r="C87" s="113">
        <f>'Assumptions (P3)'!D156</f>
        <v>20000</v>
      </c>
      <c r="D87" s="114">
        <f>C87/unit_three</f>
        <v>303.030303</v>
      </c>
      <c r="E87" s="115">
        <v>0.0</v>
      </c>
      <c r="F87" s="114">
        <f>E87/unit_three</f>
        <v>0</v>
      </c>
      <c r="G87" s="115">
        <v>0.0</v>
      </c>
      <c r="H87" s="13"/>
      <c r="I87" s="104"/>
      <c r="J87" s="13"/>
      <c r="K87" s="13"/>
      <c r="L87" s="13"/>
      <c r="M87" s="13"/>
      <c r="N87" s="13"/>
      <c r="O87" s="13"/>
      <c r="P87" s="13"/>
      <c r="Q87" s="13"/>
      <c r="R87" s="13"/>
      <c r="S87" s="13"/>
      <c r="T87" s="13"/>
      <c r="U87" s="13"/>
      <c r="V87" s="13"/>
      <c r="W87" s="13"/>
      <c r="X87" s="13"/>
      <c r="Y87" s="13"/>
      <c r="Z87" s="13"/>
    </row>
    <row r="88" ht="15.75" customHeight="1">
      <c r="A88" s="13"/>
      <c r="B88" s="112" t="s">
        <v>128</v>
      </c>
      <c r="C88" s="113">
        <f>'Assumptions (P3)'!D157*'Sources &amp; Uses (P3)'!C104</f>
        <v>11206.875</v>
      </c>
      <c r="D88" s="114">
        <f>C88/unit_three</f>
        <v>169.8011364</v>
      </c>
      <c r="E88" s="115">
        <v>0.0</v>
      </c>
      <c r="F88" s="114">
        <f>E88/unit_three</f>
        <v>0</v>
      </c>
      <c r="G88" s="115">
        <v>0.0</v>
      </c>
      <c r="H88" s="13"/>
      <c r="I88" s="104"/>
      <c r="J88" s="13"/>
      <c r="K88" s="13"/>
      <c r="L88" s="13"/>
      <c r="M88" s="13"/>
      <c r="N88" s="13"/>
      <c r="O88" s="13"/>
      <c r="P88" s="13"/>
      <c r="Q88" s="13"/>
      <c r="R88" s="13"/>
      <c r="S88" s="13"/>
      <c r="T88" s="13"/>
      <c r="U88" s="13"/>
      <c r="V88" s="13"/>
      <c r="W88" s="13"/>
      <c r="X88" s="13"/>
      <c r="Y88" s="13"/>
      <c r="Z88" s="13"/>
    </row>
    <row r="89" ht="15.75" customHeight="1">
      <c r="A89" s="13"/>
      <c r="B89" s="112" t="str">
        <f>'Assumptions (P3)'!C158</f>
        <v>Permanent Loan Documentation Fees</v>
      </c>
      <c r="C89" s="113">
        <f>'Assumptions (P3)'!D158</f>
        <v>20000</v>
      </c>
      <c r="D89" s="114">
        <f>C89/unit_three</f>
        <v>303.030303</v>
      </c>
      <c r="E89" s="115">
        <v>0.0</v>
      </c>
      <c r="F89" s="114">
        <f>E89/unit_three</f>
        <v>0</v>
      </c>
      <c r="G89" s="115">
        <v>0.0</v>
      </c>
      <c r="H89" s="13"/>
      <c r="I89" s="104"/>
      <c r="J89" s="95"/>
      <c r="K89" s="13"/>
      <c r="L89" s="13"/>
      <c r="M89" s="13"/>
      <c r="N89" s="13"/>
      <c r="O89" s="13"/>
      <c r="P89" s="13"/>
      <c r="Q89" s="13"/>
      <c r="R89" s="13"/>
      <c r="S89" s="13"/>
      <c r="T89" s="13"/>
      <c r="U89" s="13"/>
      <c r="V89" s="13"/>
      <c r="W89" s="13"/>
      <c r="X89" s="13"/>
      <c r="Y89" s="13"/>
      <c r="Z89" s="13"/>
    </row>
    <row r="90" ht="15.75" customHeight="1">
      <c r="A90" s="13"/>
      <c r="B90" s="112" t="str">
        <f>'Assumptions (P3)'!C159</f>
        <v>Permanent Loan Application Fee</v>
      </c>
      <c r="C90" s="113">
        <f>'Assumptions (P3)'!D159</f>
        <v>500</v>
      </c>
      <c r="D90" s="114">
        <f>C90/unit_three</f>
        <v>7.575757576</v>
      </c>
      <c r="E90" s="115">
        <v>0.0</v>
      </c>
      <c r="F90" s="114">
        <f>E90/unit_three</f>
        <v>0</v>
      </c>
      <c r="G90" s="115">
        <v>0.0</v>
      </c>
      <c r="H90" s="13"/>
      <c r="I90" s="104"/>
      <c r="J90" s="95"/>
      <c r="K90" s="13"/>
      <c r="L90" s="13"/>
      <c r="M90" s="13"/>
      <c r="N90" s="13"/>
      <c r="O90" s="13"/>
      <c r="P90" s="13"/>
      <c r="Q90" s="13"/>
      <c r="R90" s="13"/>
      <c r="S90" s="13"/>
      <c r="T90" s="13"/>
      <c r="U90" s="13"/>
      <c r="V90" s="13"/>
      <c r="W90" s="13"/>
      <c r="X90" s="13"/>
      <c r="Y90" s="13"/>
      <c r="Z90" s="13"/>
    </row>
    <row r="91" ht="15.75" customHeight="1">
      <c r="A91" s="13"/>
      <c r="B91" s="112" t="str">
        <f>'Assumptions (P3)'!C160</f>
        <v>8609 Issuance</v>
      </c>
      <c r="C91" s="113">
        <f>'Assumptions (P3)'!D160</f>
        <v>600</v>
      </c>
      <c r="D91" s="114">
        <f>C91/unit_three</f>
        <v>9.090909091</v>
      </c>
      <c r="E91" s="126">
        <v>0.0</v>
      </c>
      <c r="F91" s="114">
        <f>E91/unit_three</f>
        <v>0</v>
      </c>
      <c r="G91" s="115">
        <v>0.0</v>
      </c>
      <c r="H91" s="13"/>
      <c r="I91" s="104"/>
      <c r="J91" s="95"/>
      <c r="K91" s="13"/>
      <c r="L91" s="13"/>
      <c r="M91" s="13"/>
      <c r="N91" s="13"/>
      <c r="O91" s="13"/>
      <c r="P91" s="13"/>
      <c r="Q91" s="13"/>
      <c r="R91" s="13"/>
      <c r="S91" s="13"/>
      <c r="T91" s="13"/>
      <c r="U91" s="13"/>
      <c r="V91" s="13"/>
      <c r="W91" s="13"/>
      <c r="X91" s="13"/>
      <c r="Y91" s="13"/>
      <c r="Z91" s="13"/>
    </row>
    <row r="92" ht="15.75" customHeight="1">
      <c r="A92" s="13"/>
      <c r="B92" s="117" t="s">
        <v>95</v>
      </c>
      <c r="C92" s="118">
        <f>SUM(C80:C91)</f>
        <v>307418.5253</v>
      </c>
      <c r="D92" s="118">
        <f>C92/unit_three</f>
        <v>4657.856444</v>
      </c>
      <c r="E92" s="118">
        <f>SUM(E80:E91)</f>
        <v>0</v>
      </c>
      <c r="F92" s="118">
        <f>E92/unit_three</f>
        <v>0</v>
      </c>
      <c r="G92" s="118">
        <f>SUM(G80:G91)</f>
        <v>0</v>
      </c>
      <c r="H92" s="13"/>
      <c r="I92" s="13"/>
      <c r="J92" s="13"/>
      <c r="K92" s="13"/>
      <c r="L92" s="13"/>
      <c r="M92" s="13"/>
      <c r="N92" s="13"/>
      <c r="O92" s="13"/>
      <c r="P92" s="13"/>
      <c r="Q92" s="13"/>
      <c r="R92" s="13"/>
      <c r="S92" s="13"/>
      <c r="T92" s="13"/>
      <c r="U92" s="13"/>
      <c r="V92" s="13"/>
      <c r="W92" s="13"/>
      <c r="X92" s="13"/>
      <c r="Y92" s="13"/>
      <c r="Z92" s="13"/>
    </row>
    <row r="93" ht="15.75" customHeight="1">
      <c r="A93" s="13"/>
      <c r="B93" s="120" t="s">
        <v>129</v>
      </c>
      <c r="C93" s="121"/>
      <c r="D93" s="137"/>
      <c r="E93" s="122"/>
      <c r="F93" s="137"/>
      <c r="G93" s="122"/>
      <c r="H93" s="13"/>
      <c r="I93" s="13"/>
      <c r="J93" s="13"/>
      <c r="K93" s="13"/>
      <c r="L93" s="13"/>
      <c r="M93" s="13"/>
      <c r="N93" s="13"/>
      <c r="O93" s="13"/>
      <c r="P93" s="13"/>
      <c r="Q93" s="13"/>
      <c r="R93" s="13"/>
      <c r="S93" s="13"/>
      <c r="T93" s="13"/>
      <c r="U93" s="13"/>
      <c r="V93" s="13"/>
      <c r="W93" s="13"/>
      <c r="X93" s="13"/>
      <c r="Y93" s="13"/>
      <c r="Z93" s="13"/>
    </row>
    <row r="94" ht="15.75" customHeight="1">
      <c r="A94" s="13"/>
      <c r="B94" s="112" t="s">
        <v>130</v>
      </c>
      <c r="C94" s="113">
        <f>'Assumptions (P3)'!D163</f>
        <v>8750</v>
      </c>
      <c r="D94" s="114">
        <f>C94/unit_three</f>
        <v>132.5757576</v>
      </c>
      <c r="E94" s="115">
        <v>0.0</v>
      </c>
      <c r="F94" s="114">
        <f>E94/unit_three</f>
        <v>0</v>
      </c>
      <c r="G94" s="115">
        <f t="shared" ref="G94:G103" si="9">C94</f>
        <v>8750</v>
      </c>
      <c r="H94" s="13"/>
      <c r="I94" s="104"/>
      <c r="J94" s="13"/>
      <c r="K94" s="13"/>
      <c r="L94" s="13"/>
      <c r="M94" s="13"/>
      <c r="N94" s="13"/>
      <c r="O94" s="13"/>
      <c r="P94" s="13"/>
      <c r="Q94" s="13"/>
      <c r="R94" s="13"/>
      <c r="S94" s="13"/>
      <c r="T94" s="13"/>
      <c r="U94" s="13"/>
      <c r="V94" s="13"/>
      <c r="W94" s="13"/>
      <c r="X94" s="13"/>
      <c r="Y94" s="13"/>
      <c r="Z94" s="13"/>
    </row>
    <row r="95" ht="15.75" customHeight="1">
      <c r="A95" s="13"/>
      <c r="B95" s="112" t="s">
        <v>131</v>
      </c>
      <c r="C95" s="113">
        <f>'Assumptions (P3)'!D164</f>
        <v>7250</v>
      </c>
      <c r="D95" s="114">
        <f>C95/unit_three</f>
        <v>109.8484848</v>
      </c>
      <c r="E95" s="115">
        <v>0.0</v>
      </c>
      <c r="F95" s="114">
        <f>E95/unit_three</f>
        <v>0</v>
      </c>
      <c r="G95" s="115">
        <f t="shared" si="9"/>
        <v>7250</v>
      </c>
      <c r="H95" s="13"/>
      <c r="I95" s="104"/>
      <c r="J95" s="13"/>
      <c r="K95" s="13"/>
      <c r="L95" s="13"/>
      <c r="M95" s="13"/>
      <c r="N95" s="13"/>
      <c r="O95" s="13"/>
      <c r="P95" s="13"/>
      <c r="Q95" s="13"/>
      <c r="R95" s="13"/>
      <c r="S95" s="13"/>
      <c r="T95" s="13"/>
      <c r="U95" s="13"/>
      <c r="V95" s="13"/>
      <c r="W95" s="13"/>
      <c r="X95" s="13"/>
      <c r="Y95" s="13"/>
      <c r="Z95" s="13"/>
    </row>
    <row r="96" ht="15.75" customHeight="1">
      <c r="A96" s="13"/>
      <c r="B96" s="112" t="s">
        <v>132</v>
      </c>
      <c r="C96" s="113">
        <f>'Assumptions (P3)'!D165</f>
        <v>12500</v>
      </c>
      <c r="D96" s="114">
        <f>C96/unit_three</f>
        <v>189.3939394</v>
      </c>
      <c r="E96" s="115">
        <v>0.0</v>
      </c>
      <c r="F96" s="114">
        <f>E96/unit_three</f>
        <v>0</v>
      </c>
      <c r="G96" s="115">
        <f t="shared" si="9"/>
        <v>12500</v>
      </c>
      <c r="H96" s="13"/>
      <c r="I96" s="104"/>
      <c r="J96" s="13"/>
      <c r="K96" s="13"/>
      <c r="L96" s="13"/>
      <c r="M96" s="13"/>
      <c r="N96" s="13"/>
      <c r="O96" s="13"/>
      <c r="P96" s="13"/>
      <c r="Q96" s="13"/>
      <c r="R96" s="13"/>
      <c r="S96" s="13"/>
      <c r="T96" s="13"/>
      <c r="U96" s="13"/>
      <c r="V96" s="13"/>
      <c r="W96" s="13"/>
      <c r="X96" s="13"/>
      <c r="Y96" s="13"/>
      <c r="Z96" s="13"/>
    </row>
    <row r="97" ht="15.75" customHeight="1">
      <c r="A97" s="13"/>
      <c r="B97" s="112" t="s">
        <v>133</v>
      </c>
      <c r="C97" s="113">
        <f>'Assumptions (P3)'!D166</f>
        <v>10700</v>
      </c>
      <c r="D97" s="114">
        <f>C97/unit_three</f>
        <v>162.1212121</v>
      </c>
      <c r="E97" s="115">
        <v>0.0</v>
      </c>
      <c r="F97" s="114">
        <f>E97/unit_three</f>
        <v>0</v>
      </c>
      <c r="G97" s="115">
        <f t="shared" si="9"/>
        <v>10700</v>
      </c>
      <c r="H97" s="13"/>
      <c r="I97" s="104"/>
      <c r="J97" s="13"/>
      <c r="K97" s="13"/>
      <c r="L97" s="13"/>
      <c r="M97" s="13"/>
      <c r="N97" s="13"/>
      <c r="O97" s="13"/>
      <c r="P97" s="13"/>
      <c r="Q97" s="13"/>
      <c r="R97" s="13"/>
      <c r="S97" s="13"/>
      <c r="T97" s="13"/>
      <c r="U97" s="13"/>
      <c r="V97" s="13"/>
      <c r="W97" s="13"/>
      <c r="X97" s="13"/>
      <c r="Y97" s="13"/>
      <c r="Z97" s="13"/>
    </row>
    <row r="98" ht="15.75" customHeight="1">
      <c r="A98" s="13"/>
      <c r="B98" s="112" t="s">
        <v>134</v>
      </c>
      <c r="C98" s="113">
        <f>'Assumptions (P3)'!D167*unit_three</f>
        <v>0</v>
      </c>
      <c r="D98" s="114">
        <f>C98/unit_three</f>
        <v>0</v>
      </c>
      <c r="E98" s="115">
        <v>0.0</v>
      </c>
      <c r="F98" s="114">
        <f>E98/unit_three</f>
        <v>0</v>
      </c>
      <c r="G98" s="115">
        <f t="shared" si="9"/>
        <v>0</v>
      </c>
      <c r="H98" s="13"/>
      <c r="I98" s="104"/>
      <c r="J98" s="13"/>
      <c r="K98" s="13"/>
      <c r="L98" s="13"/>
      <c r="M98" s="13"/>
      <c r="N98" s="13"/>
      <c r="O98" s="13"/>
      <c r="P98" s="13"/>
      <c r="Q98" s="13"/>
      <c r="R98" s="13"/>
      <c r="S98" s="13"/>
      <c r="T98" s="13"/>
      <c r="U98" s="13"/>
      <c r="V98" s="13"/>
      <c r="W98" s="13"/>
      <c r="X98" s="13"/>
      <c r="Y98" s="13"/>
      <c r="Z98" s="13"/>
    </row>
    <row r="99" ht="15.75" customHeight="1">
      <c r="A99" s="13"/>
      <c r="B99" s="112" t="s">
        <v>135</v>
      </c>
      <c r="C99" s="113">
        <f>'Assumptions (P3)'!D168</f>
        <v>97500</v>
      </c>
      <c r="D99" s="114">
        <f>C99/unit_three</f>
        <v>1477.272727</v>
      </c>
      <c r="E99" s="115">
        <v>0.0</v>
      </c>
      <c r="F99" s="114">
        <f>E99/unit_three</f>
        <v>0</v>
      </c>
      <c r="G99" s="115">
        <f t="shared" si="9"/>
        <v>97500</v>
      </c>
      <c r="H99" s="13"/>
      <c r="I99" s="104"/>
      <c r="J99" s="13"/>
      <c r="K99" s="13"/>
      <c r="L99" s="13"/>
      <c r="M99" s="13"/>
      <c r="N99" s="13"/>
      <c r="O99" s="13"/>
      <c r="P99" s="13"/>
      <c r="Q99" s="13"/>
      <c r="R99" s="13"/>
      <c r="S99" s="13"/>
      <c r="T99" s="13"/>
      <c r="U99" s="13"/>
      <c r="V99" s="13"/>
      <c r="W99" s="13"/>
      <c r="X99" s="13"/>
      <c r="Y99" s="13"/>
      <c r="Z99" s="13"/>
    </row>
    <row r="100" ht="15.75" customHeight="1">
      <c r="A100" s="13"/>
      <c r="B100" s="112" t="s">
        <v>136</v>
      </c>
      <c r="C100" s="113">
        <f>'Assumptions (P3)'!D169</f>
        <v>37437.5</v>
      </c>
      <c r="D100" s="114">
        <f>C100/unit_three</f>
        <v>567.2348485</v>
      </c>
      <c r="E100" s="115">
        <v>0.0</v>
      </c>
      <c r="F100" s="114">
        <f>E100/unit_three</f>
        <v>0</v>
      </c>
      <c r="G100" s="115">
        <f t="shared" si="9"/>
        <v>37437.5</v>
      </c>
      <c r="H100" s="13"/>
      <c r="I100" s="104"/>
      <c r="J100" s="13"/>
      <c r="K100" s="13"/>
      <c r="L100" s="13"/>
      <c r="M100" s="13"/>
      <c r="N100" s="13"/>
      <c r="O100" s="13"/>
      <c r="P100" s="13"/>
      <c r="Q100" s="13"/>
      <c r="R100" s="13"/>
      <c r="S100" s="13"/>
      <c r="T100" s="13"/>
      <c r="U100" s="13"/>
      <c r="V100" s="13"/>
      <c r="W100" s="13"/>
      <c r="X100" s="13"/>
      <c r="Y100" s="13"/>
      <c r="Z100" s="13"/>
    </row>
    <row r="101" ht="15.75" customHeight="1">
      <c r="A101" s="13"/>
      <c r="B101" s="112" t="str">
        <f>'Assumptions (P3)'!C171</f>
        <v>Other: Sustainability Consultant Fee</v>
      </c>
      <c r="C101" s="113">
        <f>'Assumptions (P3)'!D171</f>
        <v>20000</v>
      </c>
      <c r="D101" s="114">
        <f>C101/unit_three</f>
        <v>303.030303</v>
      </c>
      <c r="E101" s="115">
        <v>0.0</v>
      </c>
      <c r="F101" s="114">
        <f>E101/unit_three</f>
        <v>0</v>
      </c>
      <c r="G101" s="115">
        <f t="shared" si="9"/>
        <v>20000</v>
      </c>
      <c r="H101" s="13"/>
      <c r="I101" s="104"/>
      <c r="J101" s="95"/>
      <c r="K101" s="13"/>
      <c r="L101" s="13"/>
      <c r="M101" s="13"/>
      <c r="N101" s="13"/>
      <c r="O101" s="13"/>
      <c r="P101" s="13"/>
      <c r="Q101" s="13"/>
      <c r="R101" s="13"/>
      <c r="S101" s="13"/>
      <c r="T101" s="13"/>
      <c r="U101" s="13"/>
      <c r="V101" s="13"/>
      <c r="W101" s="13"/>
      <c r="X101" s="13"/>
      <c r="Y101" s="13"/>
      <c r="Z101" s="13"/>
    </row>
    <row r="102" ht="15.75" customHeight="1">
      <c r="A102" s="13"/>
      <c r="B102" s="112" t="str">
        <f>'Assumptions (P3)'!C172</f>
        <v>Other: Green Certification (LEED)</v>
      </c>
      <c r="C102" s="113">
        <f>'Assumptions (P3)'!D172</f>
        <v>15000</v>
      </c>
      <c r="D102" s="114">
        <f>C102/unit_three</f>
        <v>227.2727273</v>
      </c>
      <c r="E102" s="115">
        <v>0.0</v>
      </c>
      <c r="F102" s="114">
        <f>E102/unit_three</f>
        <v>0</v>
      </c>
      <c r="G102" s="115">
        <f t="shared" si="9"/>
        <v>15000</v>
      </c>
      <c r="H102" s="13"/>
      <c r="I102" s="104"/>
      <c r="J102" s="95"/>
      <c r="K102" s="13"/>
      <c r="L102" s="13"/>
      <c r="M102" s="13"/>
      <c r="N102" s="13"/>
      <c r="O102" s="13"/>
      <c r="P102" s="13"/>
      <c r="Q102" s="13"/>
      <c r="R102" s="13"/>
      <c r="S102" s="13"/>
      <c r="T102" s="13"/>
      <c r="U102" s="13"/>
      <c r="V102" s="13"/>
      <c r="W102" s="13"/>
      <c r="X102" s="13"/>
      <c r="Y102" s="13"/>
      <c r="Z102" s="13"/>
    </row>
    <row r="103" ht="15.75" customHeight="1">
      <c r="A103" s="13"/>
      <c r="B103" s="112" t="str">
        <f>'Assumptions (P3)'!C173</f>
        <v>Other: Accessibility Inspections and Plan Review</v>
      </c>
      <c r="C103" s="113">
        <f>'Assumptions (P3)'!D173</f>
        <v>15000</v>
      </c>
      <c r="D103" s="114">
        <f>C103/unit_three</f>
        <v>227.2727273</v>
      </c>
      <c r="E103" s="126">
        <v>0.0</v>
      </c>
      <c r="F103" s="114">
        <f>E103/unit_three</f>
        <v>0</v>
      </c>
      <c r="G103" s="115">
        <f t="shared" si="9"/>
        <v>15000</v>
      </c>
      <c r="H103" s="13"/>
      <c r="I103" s="104"/>
      <c r="J103" s="95"/>
      <c r="K103" s="13"/>
      <c r="L103" s="13"/>
      <c r="M103" s="13"/>
      <c r="N103" s="13"/>
      <c r="O103" s="13"/>
      <c r="P103" s="13"/>
      <c r="Q103" s="13"/>
      <c r="R103" s="13"/>
      <c r="S103" s="13"/>
      <c r="T103" s="13"/>
      <c r="U103" s="13"/>
      <c r="V103" s="13"/>
      <c r="W103" s="13"/>
      <c r="X103" s="13"/>
      <c r="Y103" s="13"/>
      <c r="Z103" s="13"/>
    </row>
    <row r="104" ht="15.75" customHeight="1">
      <c r="A104" s="13"/>
      <c r="B104" s="117" t="s">
        <v>95</v>
      </c>
      <c r="C104" s="118">
        <f>SUM(C94:C103)</f>
        <v>224137.5</v>
      </c>
      <c r="D104" s="118">
        <f>C104/unit_three</f>
        <v>3396.022727</v>
      </c>
      <c r="E104" s="118">
        <f>SUM(E94:E103)</f>
        <v>0</v>
      </c>
      <c r="F104" s="118">
        <f>E104/unit_three</f>
        <v>0</v>
      </c>
      <c r="G104" s="118">
        <f>SUM(G94:G103)</f>
        <v>224137.5</v>
      </c>
      <c r="H104" s="13"/>
      <c r="I104" s="13"/>
      <c r="J104" s="13"/>
      <c r="K104" s="13"/>
      <c r="L104" s="13"/>
      <c r="M104" s="13"/>
      <c r="N104" s="13"/>
      <c r="O104" s="13"/>
      <c r="P104" s="13"/>
      <c r="Q104" s="13"/>
      <c r="R104" s="13"/>
      <c r="S104" s="13"/>
      <c r="T104" s="13"/>
      <c r="U104" s="13"/>
      <c r="V104" s="13"/>
      <c r="W104" s="13"/>
      <c r="X104" s="13"/>
      <c r="Y104" s="13"/>
      <c r="Z104" s="13"/>
    </row>
    <row r="105" ht="15.75" customHeight="1">
      <c r="A105" s="13"/>
      <c r="B105" s="139"/>
      <c r="C105" s="140"/>
      <c r="D105" s="140"/>
      <c r="E105" s="140"/>
      <c r="F105" s="140"/>
      <c r="G105" s="140"/>
      <c r="H105" s="13"/>
      <c r="I105" s="13"/>
      <c r="J105" s="13"/>
      <c r="K105" s="13"/>
      <c r="L105" s="13"/>
      <c r="M105" s="13"/>
      <c r="N105" s="13"/>
      <c r="O105" s="13"/>
      <c r="P105" s="13"/>
      <c r="Q105" s="13"/>
      <c r="R105" s="13"/>
      <c r="S105" s="13"/>
      <c r="T105" s="13"/>
      <c r="U105" s="13"/>
      <c r="V105" s="13"/>
      <c r="W105" s="13"/>
      <c r="X105" s="13"/>
      <c r="Y105" s="13"/>
      <c r="Z105" s="13"/>
    </row>
    <row r="106" ht="30.0" customHeight="1">
      <c r="A106" s="13"/>
      <c r="B106" s="141" t="s">
        <v>137</v>
      </c>
      <c r="C106" s="118">
        <f>C54+C64+C78+C92+C104</f>
        <v>15024177.06</v>
      </c>
      <c r="D106" s="118">
        <f>C106/unit_three</f>
        <v>227639.0463</v>
      </c>
      <c r="E106" s="118">
        <f>E54+E64+E78+E92+E104</f>
        <v>0</v>
      </c>
      <c r="F106" s="118">
        <f>E106/unit_three</f>
        <v>0</v>
      </c>
      <c r="G106" s="118">
        <f>G54+G64+G78+G92+G104</f>
        <v>13605573.36</v>
      </c>
      <c r="H106" s="13"/>
      <c r="I106" s="13"/>
      <c r="J106" s="13"/>
      <c r="K106" s="13"/>
      <c r="L106" s="13"/>
      <c r="M106" s="13"/>
      <c r="N106" s="13"/>
      <c r="O106" s="13"/>
      <c r="P106" s="13"/>
      <c r="Q106" s="13"/>
      <c r="R106" s="13"/>
      <c r="S106" s="13"/>
      <c r="T106" s="13"/>
      <c r="U106" s="13"/>
      <c r="V106" s="13"/>
      <c r="W106" s="13"/>
      <c r="X106" s="13"/>
      <c r="Y106" s="13"/>
      <c r="Z106" s="13"/>
    </row>
    <row r="107" ht="15.75" customHeight="1">
      <c r="A107" s="13"/>
      <c r="B107" s="139"/>
      <c r="C107" s="140"/>
      <c r="D107" s="140"/>
      <c r="E107" s="140"/>
      <c r="F107" s="140"/>
      <c r="G107" s="140"/>
      <c r="H107" s="13"/>
      <c r="I107" s="13"/>
      <c r="J107" s="13"/>
      <c r="K107" s="13"/>
      <c r="L107" s="13"/>
      <c r="M107" s="13"/>
      <c r="N107" s="13"/>
      <c r="O107" s="13"/>
      <c r="P107" s="13"/>
      <c r="Q107" s="13"/>
      <c r="R107" s="13"/>
      <c r="S107" s="13"/>
      <c r="T107" s="13"/>
      <c r="U107" s="13"/>
      <c r="V107" s="13"/>
      <c r="W107" s="13"/>
      <c r="X107" s="13"/>
      <c r="Y107" s="13"/>
      <c r="Z107" s="13"/>
    </row>
    <row r="108" ht="15.75" customHeight="1">
      <c r="A108" s="13"/>
      <c r="B108" s="120" t="s">
        <v>138</v>
      </c>
      <c r="C108" s="121"/>
      <c r="D108" s="137"/>
      <c r="E108" s="122"/>
      <c r="F108" s="137"/>
      <c r="G108" s="122"/>
      <c r="H108" s="13"/>
      <c r="I108" s="13"/>
      <c r="J108" s="13"/>
      <c r="K108" s="13"/>
      <c r="L108" s="13"/>
      <c r="M108" s="13"/>
      <c r="N108" s="13"/>
      <c r="O108" s="13"/>
      <c r="P108" s="13"/>
      <c r="Q108" s="13"/>
      <c r="R108" s="13"/>
      <c r="S108" s="13"/>
      <c r="T108" s="13"/>
      <c r="U108" s="13"/>
      <c r="V108" s="13"/>
      <c r="W108" s="13"/>
      <c r="X108" s="13"/>
      <c r="Y108" s="13"/>
      <c r="Z108" s="13"/>
    </row>
    <row r="109" ht="15.75" customHeight="1">
      <c r="A109" s="13"/>
      <c r="B109" s="112" t="s">
        <v>54</v>
      </c>
      <c r="C109" s="125">
        <f>unit_three*'Assumptions (P3)'!D176</f>
        <v>1386000</v>
      </c>
      <c r="D109" s="114">
        <f>C109/unit_three</f>
        <v>21000</v>
      </c>
      <c r="E109" s="126">
        <v>0.0</v>
      </c>
      <c r="F109" s="114">
        <f>E109/unit_three</f>
        <v>0</v>
      </c>
      <c r="G109" s="115">
        <f t="shared" ref="G109:G110" si="10">C109</f>
        <v>1386000</v>
      </c>
      <c r="H109" s="13"/>
      <c r="I109" s="104"/>
      <c r="J109" s="13"/>
      <c r="K109" s="13"/>
      <c r="L109" s="13"/>
      <c r="M109" s="13"/>
      <c r="N109" s="13"/>
      <c r="O109" s="13"/>
      <c r="P109" s="13"/>
      <c r="Q109" s="13"/>
      <c r="R109" s="13"/>
      <c r="S109" s="13"/>
      <c r="T109" s="13"/>
      <c r="U109" s="13"/>
      <c r="V109" s="13"/>
      <c r="W109" s="13"/>
      <c r="X109" s="13"/>
      <c r="Y109" s="13"/>
      <c r="Z109" s="13"/>
    </row>
    <row r="110" ht="15.75" customHeight="1">
      <c r="A110" s="13"/>
      <c r="B110" s="116" t="s">
        <v>102</v>
      </c>
      <c r="C110" s="125">
        <v>0.0</v>
      </c>
      <c r="D110" s="114">
        <f>C110/unit_three</f>
        <v>0</v>
      </c>
      <c r="E110" s="126">
        <v>0.0</v>
      </c>
      <c r="F110" s="114">
        <f>E110/unit_three</f>
        <v>0</v>
      </c>
      <c r="G110" s="115">
        <f t="shared" si="10"/>
        <v>0</v>
      </c>
      <c r="H110" s="13"/>
      <c r="I110" s="104"/>
      <c r="J110" s="95"/>
      <c r="K110" s="13"/>
      <c r="L110" s="13"/>
      <c r="M110" s="13"/>
      <c r="N110" s="13"/>
      <c r="O110" s="13"/>
      <c r="P110" s="13"/>
      <c r="Q110" s="13"/>
      <c r="R110" s="13"/>
      <c r="S110" s="13"/>
      <c r="T110" s="13"/>
      <c r="U110" s="13"/>
      <c r="V110" s="13"/>
      <c r="W110" s="13"/>
      <c r="X110" s="13"/>
      <c r="Y110" s="13"/>
      <c r="Z110" s="13"/>
    </row>
    <row r="111" ht="15.75" customHeight="1">
      <c r="A111" s="13"/>
      <c r="B111" s="117" t="s">
        <v>95</v>
      </c>
      <c r="C111" s="118">
        <f>SUM(C109:C110)</f>
        <v>1386000</v>
      </c>
      <c r="D111" s="118">
        <f>C111/unit_three</f>
        <v>21000</v>
      </c>
      <c r="E111" s="118">
        <f>SUM(E109:E110)</f>
        <v>0</v>
      </c>
      <c r="F111" s="118">
        <f>E111/unit_three</f>
        <v>0</v>
      </c>
      <c r="G111" s="118">
        <f>SUM(G109:G110)</f>
        <v>1386000</v>
      </c>
      <c r="H111" s="13"/>
      <c r="I111" s="13"/>
      <c r="J111" s="13"/>
      <c r="K111" s="13"/>
      <c r="L111" s="13"/>
      <c r="M111" s="13"/>
      <c r="N111" s="13"/>
      <c r="O111" s="13"/>
      <c r="P111" s="13"/>
      <c r="Q111" s="13"/>
      <c r="R111" s="13"/>
      <c r="S111" s="13"/>
      <c r="T111" s="13"/>
      <c r="U111" s="13"/>
      <c r="V111" s="13"/>
      <c r="W111" s="13"/>
      <c r="X111" s="13"/>
      <c r="Y111" s="13"/>
      <c r="Z111" s="13"/>
    </row>
    <row r="112" ht="15.75" customHeight="1">
      <c r="A112" s="13"/>
      <c r="B112" s="142" t="s">
        <v>545</v>
      </c>
      <c r="C112" s="121"/>
      <c r="D112" s="137"/>
      <c r="E112" s="122"/>
      <c r="F112" s="137"/>
      <c r="G112" s="122"/>
      <c r="H112" s="13"/>
      <c r="I112" s="13"/>
      <c r="J112" s="13"/>
      <c r="K112" s="13"/>
      <c r="L112" s="13"/>
      <c r="M112" s="13"/>
      <c r="N112" s="13"/>
      <c r="O112" s="13"/>
      <c r="P112" s="13"/>
      <c r="Q112" s="13"/>
      <c r="R112" s="13"/>
      <c r="S112" s="13"/>
      <c r="T112" s="13"/>
      <c r="U112" s="13"/>
      <c r="V112" s="13"/>
      <c r="W112" s="13"/>
      <c r="X112" s="13"/>
      <c r="Y112" s="13"/>
      <c r="Z112" s="13"/>
    </row>
    <row r="113" ht="15.75" customHeight="1">
      <c r="A113" s="13"/>
      <c r="B113" s="112" t="s">
        <v>140</v>
      </c>
      <c r="C113" s="113">
        <f>('Assumptions (P3)'!D180/12)*'Income &amp; Expenses (P3)'!$C$5</f>
        <v>249223.2057</v>
      </c>
      <c r="D113" s="114">
        <f>C113/unit_three</f>
        <v>3776.109178</v>
      </c>
      <c r="E113" s="115">
        <v>0.0</v>
      </c>
      <c r="F113" s="114">
        <f>E113/unit_three</f>
        <v>0</v>
      </c>
      <c r="G113" s="115">
        <v>0.0</v>
      </c>
      <c r="H113" s="13"/>
      <c r="I113" s="143"/>
      <c r="J113" s="75"/>
      <c r="K113" s="13"/>
      <c r="L113" s="13"/>
      <c r="M113" s="13"/>
      <c r="N113" s="13"/>
      <c r="O113" s="13"/>
      <c r="P113" s="13"/>
      <c r="Q113" s="13"/>
      <c r="R113" s="13"/>
      <c r="S113" s="13"/>
      <c r="T113" s="13"/>
      <c r="U113" s="13"/>
      <c r="V113" s="13"/>
      <c r="W113" s="13"/>
      <c r="X113" s="13"/>
      <c r="Y113" s="13"/>
      <c r="Z113" s="13"/>
    </row>
    <row r="114" ht="15.75" customHeight="1">
      <c r="A114" s="13"/>
      <c r="B114" s="112" t="s">
        <v>141</v>
      </c>
      <c r="C114" s="113">
        <f>unit_three*'Assumptions (P3)'!D181</f>
        <v>19800</v>
      </c>
      <c r="D114" s="114">
        <f>C114/unit_three</f>
        <v>300</v>
      </c>
      <c r="E114" s="115">
        <v>0.0</v>
      </c>
      <c r="F114" s="114">
        <f>E114/unit_three</f>
        <v>0</v>
      </c>
      <c r="G114" s="115">
        <v>0.0</v>
      </c>
      <c r="H114" s="13"/>
      <c r="I114" s="104"/>
      <c r="J114" s="13"/>
      <c r="K114" s="13"/>
      <c r="L114" s="13"/>
      <c r="M114" s="13"/>
      <c r="N114" s="13"/>
      <c r="O114" s="13"/>
      <c r="P114" s="13"/>
      <c r="Q114" s="13"/>
      <c r="R114" s="13"/>
      <c r="S114" s="13"/>
      <c r="T114" s="13"/>
      <c r="U114" s="13"/>
      <c r="V114" s="13"/>
      <c r="W114" s="13"/>
      <c r="X114" s="13"/>
      <c r="Y114" s="13"/>
      <c r="Z114" s="13"/>
    </row>
    <row r="115" ht="15.75" customHeight="1">
      <c r="A115" s="13"/>
      <c r="B115" s="112" t="s">
        <v>142</v>
      </c>
      <c r="C115" s="113">
        <f>('Assumptions (P3)'!D182/12)*'Income &amp; Expenses (P3)'!$C$5</f>
        <v>124611.6029</v>
      </c>
      <c r="D115" s="114">
        <f>C115/unit_three</f>
        <v>1888.054589</v>
      </c>
      <c r="E115" s="115">
        <v>0.0</v>
      </c>
      <c r="F115" s="114">
        <f>E115/unit_three</f>
        <v>0</v>
      </c>
      <c r="G115" s="115">
        <v>0.0</v>
      </c>
      <c r="H115" s="13"/>
      <c r="I115" s="104"/>
      <c r="J115" s="13"/>
      <c r="K115" s="13"/>
      <c r="L115" s="13"/>
      <c r="M115" s="13"/>
      <c r="N115" s="13"/>
      <c r="O115" s="13"/>
      <c r="P115" s="13"/>
      <c r="Q115" s="13"/>
      <c r="R115" s="13"/>
      <c r="S115" s="13"/>
      <c r="T115" s="13"/>
      <c r="U115" s="13"/>
      <c r="V115" s="13"/>
      <c r="W115" s="13"/>
      <c r="X115" s="13"/>
      <c r="Y115" s="13"/>
      <c r="Z115" s="13"/>
    </row>
    <row r="116" ht="15.75" customHeight="1">
      <c r="A116" s="13"/>
      <c r="B116" s="112" t="s">
        <v>143</v>
      </c>
      <c r="C116" s="113">
        <f>'Assumptions (P3)'!D183/12*'Income &amp; Expenses (P3)'!C114</f>
        <v>3249.844913</v>
      </c>
      <c r="D116" s="114">
        <f>C116/unit_three</f>
        <v>49.24007444</v>
      </c>
      <c r="E116" s="115">
        <v>0.0</v>
      </c>
      <c r="F116" s="114">
        <f>E116/unit_three</f>
        <v>0</v>
      </c>
      <c r="G116" s="115">
        <v>0.0</v>
      </c>
      <c r="H116" s="13"/>
      <c r="I116" s="104"/>
      <c r="J116" s="13"/>
      <c r="K116" s="13"/>
      <c r="L116" s="13"/>
      <c r="M116" s="13"/>
      <c r="N116" s="13"/>
      <c r="O116" s="13"/>
      <c r="P116" s="13"/>
      <c r="Q116" s="13"/>
      <c r="R116" s="13"/>
      <c r="S116" s="13"/>
      <c r="T116" s="13"/>
      <c r="U116" s="13"/>
      <c r="V116" s="13"/>
      <c r="W116" s="13"/>
      <c r="X116" s="13"/>
      <c r="Y116" s="13"/>
      <c r="Z116" s="13"/>
    </row>
    <row r="117" ht="15.75" customHeight="1">
      <c r="A117" s="13"/>
      <c r="B117" s="112" t="s">
        <v>144</v>
      </c>
      <c r="C117" s="113">
        <f>'Assumptions (P3)'!D184/12*'Income &amp; Expenses (P3)'!C109</f>
        <v>42789.25</v>
      </c>
      <c r="D117" s="114">
        <f>C117/unit_three</f>
        <v>648.3219697</v>
      </c>
      <c r="E117" s="115">
        <v>0.0</v>
      </c>
      <c r="F117" s="114">
        <f>E117/unit_three</f>
        <v>0</v>
      </c>
      <c r="G117" s="115">
        <v>0.0</v>
      </c>
      <c r="H117" s="13"/>
      <c r="I117" s="104"/>
      <c r="J117" s="13"/>
      <c r="K117" s="13"/>
      <c r="L117" s="13"/>
      <c r="M117" s="13"/>
      <c r="N117" s="13"/>
      <c r="O117" s="13"/>
      <c r="P117" s="13"/>
      <c r="Q117" s="13"/>
      <c r="R117" s="13"/>
      <c r="S117" s="13"/>
      <c r="T117" s="13"/>
      <c r="U117" s="13"/>
      <c r="V117" s="13"/>
      <c r="W117" s="13"/>
      <c r="X117" s="13"/>
      <c r="Y117" s="13"/>
      <c r="Z117" s="13"/>
    </row>
    <row r="118" ht="15.75" customHeight="1">
      <c r="A118" s="13"/>
      <c r="B118" s="112" t="s">
        <v>102</v>
      </c>
      <c r="C118" s="113">
        <f>'Assumptions (P3)'!D185</f>
        <v>0</v>
      </c>
      <c r="D118" s="114">
        <f>C118/unit_three</f>
        <v>0</v>
      </c>
      <c r="E118" s="115">
        <v>0.0</v>
      </c>
      <c r="F118" s="114">
        <f>E118/unit_three</f>
        <v>0</v>
      </c>
      <c r="G118" s="115">
        <v>0.0</v>
      </c>
      <c r="H118" s="13"/>
      <c r="I118" s="104"/>
      <c r="J118" s="13"/>
      <c r="K118" s="13"/>
      <c r="L118" s="13"/>
      <c r="M118" s="13"/>
      <c r="N118" s="13"/>
      <c r="O118" s="13"/>
      <c r="P118" s="13"/>
      <c r="Q118" s="13"/>
      <c r="R118" s="13"/>
      <c r="S118" s="13"/>
      <c r="T118" s="13"/>
      <c r="U118" s="13"/>
      <c r="V118" s="13"/>
      <c r="W118" s="13"/>
      <c r="X118" s="13"/>
      <c r="Y118" s="13"/>
      <c r="Z118" s="13"/>
    </row>
    <row r="119" ht="15.75" customHeight="1">
      <c r="A119" s="13"/>
      <c r="B119" s="112" t="s">
        <v>102</v>
      </c>
      <c r="C119" s="113">
        <f>'Assumptions (P3)'!D186</f>
        <v>0</v>
      </c>
      <c r="D119" s="114">
        <f>C119/unit_three</f>
        <v>0</v>
      </c>
      <c r="E119" s="115">
        <v>0.0</v>
      </c>
      <c r="F119" s="114">
        <f>E119/unit_three</f>
        <v>0</v>
      </c>
      <c r="G119" s="115">
        <v>0.0</v>
      </c>
      <c r="H119" s="13"/>
      <c r="I119" s="104"/>
      <c r="J119" s="95"/>
      <c r="K119" s="13"/>
      <c r="L119" s="13"/>
      <c r="M119" s="13"/>
      <c r="N119" s="13"/>
      <c r="O119" s="13"/>
      <c r="P119" s="13"/>
      <c r="Q119" s="13"/>
      <c r="R119" s="13"/>
      <c r="S119" s="13"/>
      <c r="T119" s="13"/>
      <c r="U119" s="13"/>
      <c r="V119" s="13"/>
      <c r="W119" s="13"/>
      <c r="X119" s="13"/>
      <c r="Y119" s="13"/>
      <c r="Z119" s="13"/>
    </row>
    <row r="120" ht="15.75" customHeight="1">
      <c r="A120" s="13"/>
      <c r="B120" s="112" t="s">
        <v>102</v>
      </c>
      <c r="C120" s="113">
        <f>'Assumptions (P3)'!D187</f>
        <v>0</v>
      </c>
      <c r="D120" s="114">
        <f>C120/unit_three</f>
        <v>0</v>
      </c>
      <c r="E120" s="115">
        <v>0.0</v>
      </c>
      <c r="F120" s="114">
        <f>E120/unit_three</f>
        <v>0</v>
      </c>
      <c r="G120" s="115">
        <v>0.0</v>
      </c>
      <c r="H120" s="13"/>
      <c r="I120" s="104"/>
      <c r="J120" s="95"/>
      <c r="K120" s="13"/>
      <c r="L120" s="13"/>
      <c r="M120" s="13"/>
      <c r="N120" s="13"/>
      <c r="O120" s="13"/>
      <c r="P120" s="13"/>
      <c r="Q120" s="13"/>
      <c r="R120" s="13"/>
      <c r="S120" s="13"/>
      <c r="T120" s="13"/>
      <c r="U120" s="13"/>
      <c r="V120" s="13"/>
      <c r="W120" s="13"/>
      <c r="X120" s="13"/>
      <c r="Y120" s="13"/>
      <c r="Z120" s="13"/>
    </row>
    <row r="121" ht="15.75" customHeight="1">
      <c r="A121" s="13"/>
      <c r="B121" s="116" t="s">
        <v>102</v>
      </c>
      <c r="C121" s="113">
        <f>'Assumptions (P3)'!D188</f>
        <v>0</v>
      </c>
      <c r="D121" s="114">
        <f>C121/unit_three</f>
        <v>0</v>
      </c>
      <c r="E121" s="126">
        <v>0.0</v>
      </c>
      <c r="F121" s="114">
        <f>E121/unit_three</f>
        <v>0</v>
      </c>
      <c r="G121" s="115">
        <v>0.0</v>
      </c>
      <c r="H121" s="13"/>
      <c r="I121" s="104"/>
      <c r="J121" s="95"/>
      <c r="K121" s="13"/>
      <c r="L121" s="13"/>
      <c r="M121" s="13"/>
      <c r="N121" s="13"/>
      <c r="O121" s="13"/>
      <c r="P121" s="13"/>
      <c r="Q121" s="13"/>
      <c r="R121" s="13"/>
      <c r="S121" s="13"/>
      <c r="T121" s="13"/>
      <c r="U121" s="13"/>
      <c r="V121" s="13"/>
      <c r="W121" s="13"/>
      <c r="X121" s="13"/>
      <c r="Y121" s="13"/>
      <c r="Z121" s="13"/>
    </row>
    <row r="122" ht="15.75" customHeight="1">
      <c r="A122" s="13"/>
      <c r="B122" s="117" t="s">
        <v>95</v>
      </c>
      <c r="C122" s="118">
        <f>SUM(C113:C121)</f>
        <v>439673.9035</v>
      </c>
      <c r="D122" s="118">
        <f>C122/unit_three</f>
        <v>6661.725811</v>
      </c>
      <c r="E122" s="118">
        <f>SUM(E113:E121)</f>
        <v>0</v>
      </c>
      <c r="F122" s="118">
        <f>E122/unit_three</f>
        <v>0</v>
      </c>
      <c r="G122" s="118">
        <f>SUM(G113:G121)</f>
        <v>0</v>
      </c>
      <c r="H122" s="13"/>
      <c r="I122" s="13"/>
      <c r="J122" s="13"/>
      <c r="K122" s="13"/>
      <c r="L122" s="13"/>
      <c r="M122" s="13"/>
      <c r="N122" s="13"/>
      <c r="O122" s="13"/>
      <c r="P122" s="13"/>
      <c r="Q122" s="13"/>
      <c r="R122" s="13"/>
      <c r="S122" s="13"/>
      <c r="T122" s="13"/>
      <c r="U122" s="13"/>
      <c r="V122" s="13"/>
      <c r="W122" s="13"/>
      <c r="X122" s="13"/>
      <c r="Y122" s="13"/>
      <c r="Z122" s="13"/>
    </row>
    <row r="123" ht="15.75" customHeight="1">
      <c r="A123" s="13"/>
      <c r="B123" s="127" t="s">
        <v>145</v>
      </c>
      <c r="C123" s="144">
        <f>C64+C78+C92+C104+C111+C122</f>
        <v>4118754.12</v>
      </c>
      <c r="D123" s="144">
        <f>C123/unit_three</f>
        <v>62405.36545</v>
      </c>
      <c r="E123" s="144">
        <f>E64+E78+E92+E104+E111+E122</f>
        <v>0</v>
      </c>
      <c r="F123" s="144">
        <f>E123/unit_three</f>
        <v>0</v>
      </c>
      <c r="G123" s="144">
        <f>G64+G78+G92+G104+G111+G122</f>
        <v>3371661.691</v>
      </c>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145"/>
      <c r="C124" s="146"/>
      <c r="D124" s="146"/>
      <c r="E124" s="146"/>
      <c r="F124" s="146"/>
      <c r="G124" s="146"/>
      <c r="H124" s="13"/>
      <c r="I124" s="34"/>
      <c r="J124" s="13"/>
      <c r="K124" s="13"/>
      <c r="L124" s="13"/>
      <c r="M124" s="13"/>
      <c r="N124" s="13"/>
      <c r="O124" s="13"/>
      <c r="P124" s="13"/>
      <c r="Q124" s="13"/>
      <c r="R124" s="13"/>
      <c r="S124" s="13"/>
      <c r="T124" s="13"/>
      <c r="U124" s="13"/>
      <c r="V124" s="13"/>
      <c r="W124" s="13"/>
      <c r="X124" s="13"/>
      <c r="Y124" s="13"/>
      <c r="Z124" s="13"/>
    </row>
    <row r="125" ht="15.75" customHeight="1">
      <c r="A125" s="13"/>
      <c r="B125" s="127" t="s">
        <v>146</v>
      </c>
      <c r="C125" s="128">
        <f>C44+C53+C64+C78+C92+C104+C111+C122</f>
        <v>16849850.96</v>
      </c>
      <c r="D125" s="147">
        <f>C125/unit_three</f>
        <v>255300.7721</v>
      </c>
      <c r="E125" s="128">
        <f>E44+E53+E64+E78+E92+E104+E111+E122</f>
        <v>0</v>
      </c>
      <c r="F125" s="147">
        <f>E125/unit_three</f>
        <v>0</v>
      </c>
      <c r="G125" s="128">
        <f>G44+G53+G64+G78+G92+G104+G111+G122</f>
        <v>14991573.36</v>
      </c>
      <c r="H125" s="13"/>
      <c r="I125" s="148" t="s">
        <v>640</v>
      </c>
      <c r="J125" s="13"/>
      <c r="K125" s="13"/>
      <c r="L125" s="13"/>
      <c r="M125" s="13"/>
      <c r="N125" s="13"/>
      <c r="O125" s="13"/>
      <c r="P125" s="13"/>
      <c r="Q125" s="13"/>
      <c r="R125" s="13"/>
      <c r="S125" s="13"/>
      <c r="T125" s="13"/>
      <c r="U125" s="13"/>
      <c r="V125" s="13"/>
      <c r="W125" s="13"/>
      <c r="X125" s="13"/>
      <c r="Y125" s="13"/>
      <c r="Z125" s="13"/>
    </row>
    <row r="126" ht="15.75" customHeight="1">
      <c r="A126" s="13"/>
      <c r="B126" s="62"/>
      <c r="C126" s="34"/>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5.75" customHeight="1">
      <c r="A127" s="13"/>
      <c r="B127" s="60" t="s">
        <v>147</v>
      </c>
      <c r="C127" s="37"/>
      <c r="D127" s="37"/>
      <c r="E127" s="37"/>
      <c r="F127" s="37"/>
      <c r="G127" s="37"/>
      <c r="H127" s="37"/>
      <c r="I127" s="37"/>
      <c r="J127" s="37"/>
      <c r="K127" s="13"/>
      <c r="L127" s="13"/>
      <c r="M127" s="13"/>
      <c r="N127" s="13"/>
      <c r="O127" s="13"/>
      <c r="P127" s="13"/>
      <c r="Q127" s="13"/>
      <c r="R127" s="13"/>
      <c r="S127" s="13"/>
      <c r="T127" s="13"/>
      <c r="U127" s="13"/>
      <c r="V127" s="13"/>
      <c r="W127" s="13"/>
      <c r="X127" s="13"/>
      <c r="Y127" s="13"/>
      <c r="Z127" s="13"/>
    </row>
    <row r="128" ht="15.75" customHeight="1">
      <c r="A128" s="13"/>
      <c r="B128" s="62"/>
      <c r="C128" s="34"/>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5.75" customHeight="1">
      <c r="A129" s="13"/>
      <c r="B129" s="149" t="s">
        <v>148</v>
      </c>
      <c r="C129" s="37"/>
      <c r="D129" s="37"/>
      <c r="E129" s="37"/>
      <c r="F129" s="37"/>
      <c r="G129" s="37"/>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50" t="s">
        <v>149</v>
      </c>
      <c r="C130" s="152">
        <v>0.09</v>
      </c>
      <c r="D130" s="13"/>
      <c r="F130" s="13"/>
      <c r="G130" s="13"/>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257"/>
      <c r="C131" s="416"/>
      <c r="D131" s="13"/>
      <c r="F131" s="13"/>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417" t="s">
        <v>162</v>
      </c>
      <c r="C132" s="418"/>
      <c r="D132" s="13"/>
      <c r="F132" s="13"/>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230" t="s">
        <v>150</v>
      </c>
      <c r="C133" s="419">
        <f>G125</f>
        <v>14991573.36</v>
      </c>
      <c r="D133" s="13"/>
      <c r="F133" s="13"/>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230" t="s">
        <v>151</v>
      </c>
      <c r="C134" s="420">
        <v>1.0</v>
      </c>
      <c r="D134" s="13"/>
      <c r="F134" s="13"/>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230" t="s">
        <v>152</v>
      </c>
      <c r="C135" s="331">
        <f>C133*C134</f>
        <v>14991573.36</v>
      </c>
      <c r="D135" s="95"/>
      <c r="F135" s="13"/>
      <c r="G135" s="13"/>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230" t="s">
        <v>153</v>
      </c>
      <c r="C136" s="331">
        <f>IF(G136="Yes",C135*1.3,C135)</f>
        <v>14991573.36</v>
      </c>
      <c r="D136" s="13"/>
      <c r="F136" s="164" t="s">
        <v>154</v>
      </c>
      <c r="G136" s="165" t="s">
        <v>155</v>
      </c>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230" t="s">
        <v>156</v>
      </c>
      <c r="C137" s="421">
        <v>0.09</v>
      </c>
      <c r="D137" s="13"/>
      <c r="F137" s="168"/>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53" t="s">
        <v>157</v>
      </c>
      <c r="C138" s="422">
        <f>C136*C137</f>
        <v>1349241.603</v>
      </c>
      <c r="D138" s="13"/>
      <c r="F138" s="168"/>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423" t="s">
        <v>546</v>
      </c>
      <c r="C139" s="424">
        <f>C138</f>
        <v>1349241.603</v>
      </c>
      <c r="D139" s="13"/>
      <c r="F139" s="168"/>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230"/>
      <c r="C140" s="331"/>
      <c r="D140" s="13"/>
      <c r="F140" s="171"/>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423" t="s">
        <v>168</v>
      </c>
      <c r="C141" s="425"/>
      <c r="D141" s="13"/>
      <c r="F141" s="426"/>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230" t="s">
        <v>169</v>
      </c>
      <c r="C142" s="427">
        <f>C125</f>
        <v>16849850.96</v>
      </c>
      <c r="D142" s="13"/>
      <c r="F142" s="426"/>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53" t="s">
        <v>170</v>
      </c>
      <c r="C143" s="428">
        <f>C5+C7+C8+C9+C10+C11+C12+C13+C14</f>
        <v>6973682.847</v>
      </c>
      <c r="D143" s="13"/>
      <c r="F143" s="426"/>
      <c r="G143" s="13"/>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230" t="s">
        <v>171</v>
      </c>
      <c r="C144" s="331">
        <f>C142-C143</f>
        <v>9876168.112</v>
      </c>
      <c r="D144" s="13"/>
      <c r="F144" s="426"/>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230" t="s">
        <v>172</v>
      </c>
      <c r="C145" s="419">
        <v>10.0</v>
      </c>
      <c r="D145" s="13"/>
      <c r="F145" s="426"/>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230" t="s">
        <v>173</v>
      </c>
      <c r="C146" s="331">
        <f>C144/C145</f>
        <v>987616.8112</v>
      </c>
      <c r="D146" s="13"/>
      <c r="F146" s="426"/>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230" t="s">
        <v>174</v>
      </c>
      <c r="C147" s="429">
        <v>0.86</v>
      </c>
      <c r="D147" s="13"/>
      <c r="F147" s="426"/>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53" t="s">
        <v>175</v>
      </c>
      <c r="C148" s="422">
        <f>C146/C147</f>
        <v>1148391.641</v>
      </c>
      <c r="D148" s="13"/>
      <c r="F148" s="426"/>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423" t="s">
        <v>547</v>
      </c>
      <c r="C149" s="424">
        <f>C148</f>
        <v>1148391.641</v>
      </c>
      <c r="D149" s="13"/>
      <c r="F149" s="426"/>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430" t="s">
        <v>548</v>
      </c>
      <c r="C150" s="431">
        <v>1400000.0</v>
      </c>
      <c r="D150" s="13"/>
      <c r="F150" s="426"/>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432"/>
      <c r="C151" s="433"/>
      <c r="D151" s="13"/>
      <c r="F151" s="426"/>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95" t="s">
        <v>549</v>
      </c>
      <c r="C152" s="434">
        <f>MAX(MIN(C149,C139,C150),0)</f>
        <v>1148391.641</v>
      </c>
      <c r="D152" s="13"/>
      <c r="F152" s="426"/>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230" t="s">
        <v>159</v>
      </c>
      <c r="C153" s="429">
        <f>C147</f>
        <v>0.86</v>
      </c>
      <c r="D153" s="13"/>
      <c r="F153" s="13"/>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97" t="s">
        <v>160</v>
      </c>
      <c r="C154" s="435">
        <f>C152*C153*C145</f>
        <v>9876168.112</v>
      </c>
      <c r="D154" s="177"/>
      <c r="F154" s="13"/>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3"/>
      <c r="C155" s="34"/>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c r="C156" s="34"/>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78" t="s">
        <v>550</v>
      </c>
      <c r="C157" s="37"/>
      <c r="D157" s="37"/>
      <c r="E157" s="37"/>
      <c r="F157" s="37"/>
      <c r="G157" s="37"/>
      <c r="H157" s="13"/>
      <c r="I157" s="13"/>
      <c r="J157" s="13"/>
      <c r="K157" s="13"/>
      <c r="L157" s="13"/>
      <c r="M157" s="13"/>
      <c r="N157" s="13"/>
      <c r="O157" s="13"/>
      <c r="P157" s="13"/>
      <c r="Q157" s="13"/>
      <c r="R157" s="13"/>
      <c r="S157" s="13"/>
      <c r="T157" s="13"/>
      <c r="U157" s="13"/>
      <c r="V157" s="13"/>
      <c r="W157" s="13"/>
      <c r="X157" s="13"/>
      <c r="Y157" s="13"/>
      <c r="Z157" s="13"/>
    </row>
    <row r="158" ht="15.75" customHeight="1">
      <c r="A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79" t="s">
        <v>551</v>
      </c>
      <c r="C159" s="436" t="s">
        <v>552</v>
      </c>
      <c r="D159" s="436" t="s">
        <v>553</v>
      </c>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t="s">
        <v>554</v>
      </c>
      <c r="C160" s="13">
        <v>5.0</v>
      </c>
      <c r="D160" s="437">
        <v>0.0</v>
      </c>
      <c r="F160" s="13"/>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t="s">
        <v>555</v>
      </c>
      <c r="C161" s="13">
        <v>25.0</v>
      </c>
      <c r="D161" s="437">
        <v>25.0</v>
      </c>
      <c r="F161" s="13"/>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3" t="s">
        <v>556</v>
      </c>
      <c r="C162" s="13">
        <v>12.0</v>
      </c>
      <c r="D162" s="437">
        <v>0.0</v>
      </c>
      <c r="E162" s="95"/>
      <c r="F162" s="13"/>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3" t="s">
        <v>557</v>
      </c>
      <c r="C163" s="13">
        <v>5.0</v>
      </c>
      <c r="D163" s="437">
        <v>0.0</v>
      </c>
      <c r="F163" s="13"/>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3" t="s">
        <v>558</v>
      </c>
      <c r="C164" s="13">
        <v>63.0</v>
      </c>
      <c r="D164" s="437">
        <v>60.0</v>
      </c>
      <c r="F164" s="13"/>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t="s">
        <v>559</v>
      </c>
      <c r="C165" s="13">
        <v>15.0</v>
      </c>
      <c r="D165" s="437">
        <v>15.0</v>
      </c>
      <c r="E165" s="95"/>
      <c r="F165" s="13"/>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3" t="s">
        <v>560</v>
      </c>
      <c r="C166" s="13">
        <v>5.0</v>
      </c>
      <c r="D166" s="437">
        <v>5.0</v>
      </c>
      <c r="F166" s="13"/>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3" t="s">
        <v>561</v>
      </c>
      <c r="C167" s="13">
        <v>25.0</v>
      </c>
      <c r="D167" s="437">
        <v>0.0</v>
      </c>
      <c r="F167" s="13"/>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t="s">
        <v>562</v>
      </c>
      <c r="C168" s="13">
        <v>18.0</v>
      </c>
      <c r="D168" s="437">
        <v>18.0</v>
      </c>
      <c r="F168" s="13"/>
      <c r="G168" s="13"/>
      <c r="H168" s="13"/>
      <c r="I168" s="13"/>
      <c r="J168" s="13"/>
      <c r="K168" s="375" t="s">
        <v>563</v>
      </c>
      <c r="L168" s="13"/>
      <c r="M168" s="13"/>
      <c r="N168" s="13"/>
      <c r="O168" s="13"/>
      <c r="P168" s="13"/>
      <c r="Q168" s="13"/>
      <c r="R168" s="13"/>
      <c r="S168" s="13"/>
      <c r="T168" s="13"/>
      <c r="U168" s="13"/>
      <c r="V168" s="13"/>
      <c r="W168" s="13"/>
      <c r="X168" s="13"/>
      <c r="Y168" s="13"/>
      <c r="Z168" s="13"/>
    </row>
    <row r="169" ht="15.75" customHeight="1">
      <c r="A169" s="13"/>
      <c r="B169" s="13" t="s">
        <v>564</v>
      </c>
      <c r="C169" s="13">
        <v>36.0</v>
      </c>
      <c r="D169" s="437">
        <f t="array" ref="D169">INDEX(M170:M176,MATCH(1,J170:J176,0))</f>
        <v>36</v>
      </c>
      <c r="E169" s="438">
        <f>C154*0.86/C125</f>
        <v>0.5040700121</v>
      </c>
      <c r="F169" s="439" t="s">
        <v>565</v>
      </c>
      <c r="G169" s="13"/>
      <c r="H169" s="13"/>
      <c r="I169" s="13"/>
      <c r="J169" s="440"/>
      <c r="K169" s="441" t="s">
        <v>566</v>
      </c>
      <c r="L169" s="442" t="s">
        <v>567</v>
      </c>
      <c r="M169" s="441" t="s">
        <v>568</v>
      </c>
      <c r="N169" s="13"/>
      <c r="O169" s="13"/>
      <c r="P169" s="13"/>
      <c r="Q169" s="13"/>
      <c r="R169" s="13"/>
      <c r="S169" s="13"/>
      <c r="T169" s="13"/>
      <c r="U169" s="13"/>
      <c r="V169" s="13"/>
      <c r="W169" s="13"/>
      <c r="X169" s="13"/>
      <c r="Y169" s="13"/>
      <c r="Z169" s="13"/>
    </row>
    <row r="170" ht="15.75" customHeight="1">
      <c r="A170" s="13"/>
      <c r="B170" s="13" t="s">
        <v>569</v>
      </c>
      <c r="C170" s="13">
        <v>3.0</v>
      </c>
      <c r="D170" s="437">
        <v>0.0</v>
      </c>
      <c r="F170" s="13"/>
      <c r="G170" s="13"/>
      <c r="H170" s="13"/>
      <c r="I170" s="13"/>
      <c r="J170" s="440">
        <f t="shared" ref="J170:J176" si="11">IF(AND($E$169&gt;K170,$E$169&lt;=L170),1,0)</f>
        <v>1</v>
      </c>
      <c r="K170" s="138">
        <v>0.0</v>
      </c>
      <c r="L170" s="443">
        <v>0.58</v>
      </c>
      <c r="M170" s="13">
        <v>36.0</v>
      </c>
      <c r="N170" s="13"/>
      <c r="O170" s="13"/>
      <c r="P170" s="13"/>
      <c r="Q170" s="13"/>
      <c r="R170" s="13"/>
      <c r="S170" s="13"/>
      <c r="T170" s="13"/>
      <c r="U170" s="13"/>
      <c r="V170" s="13"/>
      <c r="W170" s="13"/>
      <c r="X170" s="13"/>
      <c r="Y170" s="13"/>
      <c r="Z170" s="13"/>
    </row>
    <row r="171" ht="15.75" customHeight="1">
      <c r="A171" s="13"/>
      <c r="B171" s="13" t="s">
        <v>570</v>
      </c>
      <c r="C171" s="13">
        <v>8.0</v>
      </c>
      <c r="D171" s="437">
        <v>8.0</v>
      </c>
      <c r="F171" s="13"/>
      <c r="G171" s="13"/>
      <c r="H171" s="13"/>
      <c r="I171" s="13"/>
      <c r="J171" s="440">
        <f t="shared" si="11"/>
        <v>0</v>
      </c>
      <c r="K171" s="138">
        <f t="shared" ref="K171:K176" si="12">L170</f>
        <v>0.58</v>
      </c>
      <c r="L171" s="443">
        <v>0.61</v>
      </c>
      <c r="M171" s="13">
        <v>34.0</v>
      </c>
      <c r="N171" s="13"/>
      <c r="O171" s="13"/>
      <c r="P171" s="13"/>
      <c r="Q171" s="13"/>
      <c r="R171" s="13"/>
      <c r="S171" s="13"/>
      <c r="T171" s="13"/>
      <c r="U171" s="13"/>
      <c r="V171" s="13"/>
      <c r="W171" s="13"/>
      <c r="X171" s="13"/>
      <c r="Y171" s="13"/>
      <c r="Z171" s="13"/>
    </row>
    <row r="172" ht="15.75" customHeight="1">
      <c r="A172" s="13"/>
      <c r="B172" s="13" t="s">
        <v>571</v>
      </c>
      <c r="C172" s="13">
        <v>28.0</v>
      </c>
      <c r="D172" s="437">
        <v>18.0</v>
      </c>
      <c r="F172" s="13"/>
      <c r="G172" s="13"/>
      <c r="H172" s="13"/>
      <c r="I172" s="13"/>
      <c r="J172" s="440">
        <f t="shared" si="11"/>
        <v>0</v>
      </c>
      <c r="K172" s="138">
        <f t="shared" si="12"/>
        <v>0.61</v>
      </c>
      <c r="L172" s="443">
        <v>0.64</v>
      </c>
      <c r="M172" s="13">
        <v>32.0</v>
      </c>
      <c r="N172" s="13"/>
      <c r="O172" s="13"/>
      <c r="P172" s="13"/>
      <c r="Q172" s="13"/>
      <c r="R172" s="13"/>
      <c r="S172" s="13"/>
      <c r="T172" s="13"/>
      <c r="U172" s="13"/>
      <c r="V172" s="13"/>
      <c r="W172" s="13"/>
      <c r="X172" s="13"/>
      <c r="Y172" s="13"/>
      <c r="Z172" s="13"/>
    </row>
    <row r="173" ht="15.75" customHeight="1">
      <c r="A173" s="13"/>
      <c r="B173" s="13" t="s">
        <v>572</v>
      </c>
      <c r="C173" s="13">
        <v>8.0</v>
      </c>
      <c r="D173" s="437">
        <v>0.0</v>
      </c>
      <c r="F173" s="13"/>
      <c r="G173" s="13"/>
      <c r="H173" s="13"/>
      <c r="I173" s="13"/>
      <c r="J173" s="440">
        <f t="shared" si="11"/>
        <v>0</v>
      </c>
      <c r="K173" s="138">
        <f t="shared" si="12"/>
        <v>0.64</v>
      </c>
      <c r="L173" s="443">
        <v>0.67</v>
      </c>
      <c r="M173" s="13">
        <v>30.0</v>
      </c>
      <c r="N173" s="13"/>
      <c r="O173" s="13"/>
      <c r="P173" s="13"/>
      <c r="Q173" s="13"/>
      <c r="R173" s="13"/>
      <c r="S173" s="13"/>
      <c r="T173" s="13"/>
      <c r="U173" s="13"/>
      <c r="V173" s="13"/>
      <c r="W173" s="13"/>
      <c r="X173" s="13"/>
      <c r="Y173" s="13"/>
      <c r="Z173" s="13"/>
    </row>
    <row r="174" ht="15.75" customHeight="1">
      <c r="A174" s="13"/>
      <c r="B174" s="13" t="s">
        <v>573</v>
      </c>
      <c r="C174" s="13">
        <v>12.0</v>
      </c>
      <c r="D174" s="437">
        <v>10.0</v>
      </c>
      <c r="F174" s="13"/>
      <c r="G174" s="13"/>
      <c r="H174" s="13"/>
      <c r="I174" s="13"/>
      <c r="J174" s="440">
        <f t="shared" si="11"/>
        <v>0</v>
      </c>
      <c r="K174" s="138">
        <f t="shared" si="12"/>
        <v>0.67</v>
      </c>
      <c r="L174" s="443">
        <v>0.7</v>
      </c>
      <c r="M174" s="13">
        <v>28.0</v>
      </c>
      <c r="N174" s="13"/>
      <c r="O174" s="13"/>
      <c r="P174" s="13"/>
      <c r="Q174" s="13"/>
      <c r="R174" s="13"/>
      <c r="S174" s="13"/>
      <c r="T174" s="13"/>
      <c r="U174" s="13"/>
      <c r="V174" s="13"/>
      <c r="W174" s="13"/>
      <c r="X174" s="13"/>
      <c r="Y174" s="13"/>
      <c r="Z174" s="13"/>
    </row>
    <row r="175" ht="15.75" customHeight="1">
      <c r="A175" s="13"/>
      <c r="B175" s="182" t="s">
        <v>574</v>
      </c>
      <c r="C175" s="182">
        <v>5.0</v>
      </c>
      <c r="D175" s="444">
        <v>0.0</v>
      </c>
      <c r="F175" s="13"/>
      <c r="G175" s="13"/>
      <c r="H175" s="13"/>
      <c r="I175" s="13"/>
      <c r="J175" s="440">
        <f t="shared" si="11"/>
        <v>0</v>
      </c>
      <c r="K175" s="138">
        <f t="shared" si="12"/>
        <v>0.7</v>
      </c>
      <c r="L175" s="443">
        <v>0.73</v>
      </c>
      <c r="M175" s="13">
        <v>26.0</v>
      </c>
      <c r="N175" s="13"/>
      <c r="O175" s="13"/>
      <c r="P175" s="13"/>
      <c r="Q175" s="13"/>
      <c r="R175" s="13"/>
      <c r="S175" s="13"/>
      <c r="T175" s="13"/>
      <c r="U175" s="13"/>
      <c r="V175" s="13"/>
      <c r="W175" s="13"/>
      <c r="X175" s="13"/>
      <c r="Y175" s="13"/>
      <c r="Z175" s="13"/>
    </row>
    <row r="176" ht="15.75" customHeight="1">
      <c r="A176" s="13"/>
      <c r="B176" s="15" t="s">
        <v>407</v>
      </c>
      <c r="C176" s="13">
        <f t="shared" ref="C176:D176" si="13">SUM(C160:C175)</f>
        <v>273</v>
      </c>
      <c r="D176" s="15">
        <f t="shared" si="13"/>
        <v>195</v>
      </c>
      <c r="F176" s="13"/>
      <c r="G176" s="13"/>
      <c r="H176" s="13"/>
      <c r="I176" s="13"/>
      <c r="J176" s="440">
        <f t="shared" si="11"/>
        <v>0</v>
      </c>
      <c r="K176" s="138">
        <f t="shared" si="12"/>
        <v>0.73</v>
      </c>
      <c r="L176" s="443">
        <v>1.0</v>
      </c>
      <c r="M176" s="13">
        <v>0.0</v>
      </c>
      <c r="N176" s="13"/>
      <c r="O176" s="13"/>
      <c r="P176" s="13"/>
      <c r="Q176" s="13"/>
      <c r="R176" s="13"/>
      <c r="S176" s="13"/>
      <c r="T176" s="13"/>
      <c r="U176" s="13"/>
      <c r="V176" s="13"/>
      <c r="W176" s="13"/>
      <c r="X176" s="13"/>
      <c r="Y176" s="13"/>
      <c r="Z176" s="13"/>
    </row>
    <row r="177" ht="15.75" customHeight="1">
      <c r="A177" s="13"/>
      <c r="B177" s="95" t="s">
        <v>575</v>
      </c>
      <c r="C177" s="95">
        <v>120.0</v>
      </c>
      <c r="D177" s="445" t="str">
        <f>IF(D176&gt;=C177,"Threshold Hit","Below Threshold")</f>
        <v>Threshold Hit</v>
      </c>
      <c r="E177" s="13"/>
      <c r="F177" s="13"/>
      <c r="G177" s="13"/>
      <c r="H177" s="13"/>
      <c r="I177" s="13"/>
      <c r="J177" s="13"/>
      <c r="K177" s="138"/>
      <c r="L177" s="13"/>
      <c r="M177" s="13"/>
      <c r="N177" s="13"/>
      <c r="O177" s="13"/>
      <c r="P177" s="13"/>
      <c r="Q177" s="13"/>
      <c r="R177" s="13"/>
      <c r="S177" s="13"/>
      <c r="T177" s="13"/>
      <c r="U177" s="13"/>
      <c r="V177" s="13"/>
      <c r="W177" s="13"/>
      <c r="X177" s="13"/>
      <c r="Y177" s="13"/>
      <c r="Z177" s="13"/>
    </row>
    <row r="178" ht="15.75" customHeight="1">
      <c r="A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D180" s="58"/>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F181" s="13"/>
      <c r="G181" s="13"/>
      <c r="H181" s="13"/>
      <c r="I181" s="13"/>
      <c r="J181" s="13"/>
      <c r="N181" s="13"/>
      <c r="O181" s="13"/>
      <c r="P181" s="13"/>
      <c r="Q181" s="13"/>
      <c r="R181" s="13"/>
      <c r="S181" s="13"/>
      <c r="T181" s="13"/>
      <c r="U181" s="13"/>
      <c r="V181" s="13"/>
      <c r="W181" s="13"/>
      <c r="X181" s="13"/>
      <c r="Y181" s="13"/>
      <c r="Z181" s="13"/>
    </row>
    <row r="182" ht="15.75" customHeight="1">
      <c r="A182" s="13"/>
      <c r="B182" s="13"/>
      <c r="F182" s="13"/>
      <c r="G182" s="13"/>
      <c r="H182" s="13"/>
      <c r="I182" s="13"/>
      <c r="J182" s="13"/>
      <c r="N182" s="13"/>
      <c r="O182" s="13"/>
      <c r="P182" s="13"/>
      <c r="Q182" s="13"/>
      <c r="R182" s="13"/>
      <c r="S182" s="13"/>
      <c r="T182" s="13"/>
      <c r="U182" s="13"/>
      <c r="V182" s="13"/>
      <c r="W182" s="13"/>
      <c r="X182" s="13"/>
      <c r="Y182" s="13"/>
      <c r="Z182" s="13"/>
    </row>
    <row r="183" ht="15.75" customHeight="1">
      <c r="A183" s="13"/>
      <c r="B183" s="13"/>
      <c r="C183" s="34"/>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34"/>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34"/>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34"/>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34"/>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34"/>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34"/>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34"/>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34"/>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34"/>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34"/>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34"/>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34"/>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34"/>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34"/>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34"/>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34"/>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34"/>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34"/>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34"/>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34"/>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34"/>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34"/>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34"/>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34"/>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34"/>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34"/>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34"/>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34"/>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34"/>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34"/>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34"/>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34"/>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34"/>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34"/>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34"/>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34"/>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34"/>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5.75" customHeight="1">
      <c r="A221" s="13"/>
      <c r="B221" s="13"/>
      <c r="C221" s="34"/>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5.75" customHeight="1">
      <c r="A222" s="13"/>
      <c r="B222" s="13"/>
      <c r="C222" s="34"/>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5.75" customHeight="1">
      <c r="A223" s="13"/>
      <c r="B223" s="13"/>
      <c r="C223" s="34"/>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5.75" customHeight="1">
      <c r="A224" s="13"/>
      <c r="B224" s="13"/>
      <c r="C224" s="34"/>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5.75" customHeight="1">
      <c r="A225" s="13"/>
      <c r="B225" s="13"/>
      <c r="C225" s="34"/>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5.75" customHeight="1">
      <c r="A226" s="13"/>
      <c r="B226" s="13"/>
      <c r="C226" s="34"/>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5.75" customHeight="1">
      <c r="A227" s="13"/>
      <c r="B227" s="13"/>
      <c r="C227" s="34"/>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5.75" customHeight="1">
      <c r="A228" s="13"/>
      <c r="B228" s="13"/>
      <c r="C228" s="34"/>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5.75" customHeight="1">
      <c r="A229" s="13"/>
      <c r="B229" s="13"/>
      <c r="C229" s="34"/>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5.75" customHeight="1">
      <c r="A230" s="13"/>
      <c r="B230" s="13"/>
      <c r="C230" s="34"/>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5.75" customHeight="1">
      <c r="A231" s="13"/>
      <c r="B231" s="13"/>
      <c r="C231" s="34"/>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5.75" customHeight="1">
      <c r="A232" s="13"/>
      <c r="B232" s="13"/>
      <c r="C232" s="34"/>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5.75" customHeight="1">
      <c r="A233" s="13"/>
      <c r="B233" s="13"/>
      <c r="C233" s="34"/>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5.75" customHeight="1">
      <c r="A234" s="13"/>
      <c r="B234" s="13"/>
      <c r="C234" s="34"/>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5.75" customHeight="1">
      <c r="A235" s="13"/>
      <c r="B235" s="13"/>
      <c r="C235" s="34"/>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5.75" customHeight="1">
      <c r="A236" s="13"/>
      <c r="B236" s="13"/>
      <c r="C236" s="34"/>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5.75" customHeight="1">
      <c r="A237" s="13"/>
      <c r="B237" s="13"/>
      <c r="C237" s="34"/>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5.75" customHeight="1">
      <c r="A238" s="13"/>
      <c r="B238" s="13"/>
      <c r="C238" s="34"/>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5.75" customHeight="1">
      <c r="A239" s="13"/>
      <c r="B239" s="13"/>
      <c r="C239" s="34"/>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5.75" customHeight="1">
      <c r="A240" s="13"/>
      <c r="B240" s="13"/>
      <c r="C240" s="34"/>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5.75" customHeight="1">
      <c r="A241" s="13"/>
      <c r="B241" s="13"/>
      <c r="C241" s="34"/>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5.75" customHeight="1">
      <c r="A242" s="13"/>
      <c r="B242" s="13"/>
      <c r="C242" s="34"/>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5.75" customHeight="1">
      <c r="A243" s="13"/>
      <c r="B243" s="13"/>
      <c r="C243" s="34"/>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5.75" customHeight="1">
      <c r="A244" s="13"/>
      <c r="B244" s="13"/>
      <c r="C244" s="34"/>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5.75" customHeight="1">
      <c r="A245" s="13"/>
      <c r="B245" s="13"/>
      <c r="C245" s="34"/>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5.75" customHeight="1">
      <c r="A246" s="13"/>
      <c r="B246" s="13"/>
      <c r="C246" s="34"/>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5.75" customHeight="1">
      <c r="A247" s="13"/>
      <c r="B247" s="13"/>
      <c r="C247" s="34"/>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5.75" customHeight="1">
      <c r="A248" s="13"/>
      <c r="B248" s="13"/>
      <c r="C248" s="34"/>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5.75" customHeight="1">
      <c r="A249" s="13"/>
      <c r="B249" s="13"/>
      <c r="C249" s="34"/>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5.75" customHeight="1">
      <c r="A250" s="13"/>
      <c r="B250" s="13"/>
      <c r="C250" s="34"/>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5.75" customHeight="1">
      <c r="A251" s="13"/>
      <c r="B251" s="13"/>
      <c r="C251" s="34"/>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5.75" customHeight="1">
      <c r="A252" s="13"/>
      <c r="B252" s="13"/>
      <c r="C252" s="34"/>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5.75" customHeight="1">
      <c r="A253" s="13"/>
      <c r="B253" s="13"/>
      <c r="C253" s="34"/>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5.75" customHeight="1">
      <c r="A254" s="13"/>
      <c r="B254" s="13"/>
      <c r="C254" s="34"/>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5.75" customHeight="1">
      <c r="A255" s="13"/>
      <c r="B255" s="13"/>
      <c r="C255" s="34"/>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5.75" customHeight="1">
      <c r="A256" s="13"/>
      <c r="B256" s="13"/>
      <c r="C256" s="34"/>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5.75" customHeight="1">
      <c r="A257" s="13"/>
      <c r="B257" s="13"/>
      <c r="C257" s="34"/>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5.75" customHeight="1">
      <c r="A258" s="13"/>
      <c r="B258" s="13"/>
      <c r="C258" s="34"/>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5.75" customHeight="1">
      <c r="A259" s="13"/>
      <c r="B259" s="13"/>
      <c r="C259" s="34"/>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5.75" customHeight="1">
      <c r="A260" s="13"/>
      <c r="B260" s="13"/>
      <c r="C260" s="34"/>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5.75" customHeight="1">
      <c r="A261" s="13"/>
      <c r="B261" s="13"/>
      <c r="C261" s="34"/>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5.75" customHeight="1">
      <c r="A262" s="13"/>
      <c r="B262" s="13"/>
      <c r="C262" s="34"/>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5.75" customHeight="1">
      <c r="A263" s="13"/>
      <c r="B263" s="13"/>
      <c r="C263" s="34"/>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5.75" customHeight="1">
      <c r="A264" s="13"/>
      <c r="B264" s="13"/>
      <c r="C264" s="34"/>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5.75" customHeight="1">
      <c r="A265" s="13"/>
      <c r="B265" s="13"/>
      <c r="C265" s="34"/>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5.75" customHeight="1">
      <c r="A266" s="13"/>
      <c r="B266" s="13"/>
      <c r="C266" s="34"/>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5.75" customHeight="1">
      <c r="A267" s="13"/>
      <c r="B267" s="13"/>
      <c r="C267" s="34"/>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5.75" customHeight="1">
      <c r="A268" s="13"/>
      <c r="B268" s="13"/>
      <c r="C268" s="34"/>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5.75" customHeight="1">
      <c r="A269" s="13"/>
      <c r="B269" s="13"/>
      <c r="C269" s="34"/>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5.75" customHeight="1">
      <c r="A270" s="13"/>
      <c r="B270" s="13"/>
      <c r="C270" s="34"/>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5.75" customHeight="1">
      <c r="A271" s="13"/>
      <c r="B271" s="13"/>
      <c r="C271" s="34"/>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5.75" customHeight="1">
      <c r="A272" s="13"/>
      <c r="B272" s="13"/>
      <c r="C272" s="34"/>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5.75" customHeight="1">
      <c r="A273" s="13"/>
      <c r="B273" s="13"/>
      <c r="C273" s="34"/>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5.75" customHeight="1">
      <c r="A274" s="13"/>
      <c r="B274" s="13"/>
      <c r="C274" s="34"/>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5.75" customHeight="1">
      <c r="A275" s="13"/>
      <c r="B275" s="13"/>
      <c r="C275" s="34"/>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5.75" customHeight="1">
      <c r="A276" s="13"/>
      <c r="B276" s="13"/>
      <c r="C276" s="34"/>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5.75" customHeight="1">
      <c r="A277" s="13"/>
      <c r="B277" s="13"/>
      <c r="C277" s="34"/>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5.75" customHeight="1">
      <c r="A278" s="13"/>
      <c r="B278" s="13"/>
      <c r="C278" s="34"/>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5.75" customHeight="1">
      <c r="A279" s="13"/>
      <c r="B279" s="13"/>
      <c r="C279" s="34"/>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5.75" customHeight="1">
      <c r="A280" s="13"/>
      <c r="B280" s="13"/>
      <c r="C280" s="34"/>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5.75" customHeight="1">
      <c r="A281" s="13"/>
      <c r="B281" s="13"/>
      <c r="C281" s="34"/>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5.75" customHeight="1">
      <c r="A282" s="13"/>
      <c r="B282" s="13"/>
      <c r="C282" s="34"/>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5.75" customHeight="1">
      <c r="A283" s="13"/>
      <c r="B283" s="13"/>
      <c r="C283" s="34"/>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5.75" customHeight="1">
      <c r="A284" s="13"/>
      <c r="B284" s="13"/>
      <c r="C284" s="34"/>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5.75" customHeight="1">
      <c r="A285" s="13"/>
      <c r="B285" s="13"/>
      <c r="C285" s="34"/>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5.75" customHeight="1">
      <c r="A286" s="13"/>
      <c r="B286" s="13"/>
      <c r="C286" s="34"/>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5.75" customHeight="1">
      <c r="A287" s="13"/>
      <c r="B287" s="13"/>
      <c r="C287" s="34"/>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5.75" customHeight="1">
      <c r="A288" s="13"/>
      <c r="B288" s="13"/>
      <c r="C288" s="34"/>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5.75" customHeight="1">
      <c r="A289" s="13"/>
      <c r="B289" s="13"/>
      <c r="C289" s="34"/>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5.75" customHeight="1">
      <c r="A290" s="13"/>
      <c r="B290" s="13"/>
      <c r="C290" s="34"/>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5.75" customHeight="1">
      <c r="A291" s="13"/>
      <c r="B291" s="13"/>
      <c r="C291" s="34"/>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5.75" customHeight="1">
      <c r="A292" s="13"/>
      <c r="B292" s="13"/>
      <c r="C292" s="34"/>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5.75" customHeight="1">
      <c r="A293" s="13"/>
      <c r="B293" s="13"/>
      <c r="C293" s="34"/>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5.75" customHeight="1">
      <c r="A294" s="13"/>
      <c r="B294" s="13"/>
      <c r="C294" s="34"/>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5.75" customHeight="1">
      <c r="A295" s="13"/>
      <c r="B295" s="13"/>
      <c r="C295" s="34"/>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5.75" customHeight="1">
      <c r="A296" s="13"/>
      <c r="B296" s="13"/>
      <c r="C296" s="34"/>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5.75" customHeight="1">
      <c r="A297" s="13"/>
      <c r="B297" s="13"/>
      <c r="C297" s="34"/>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5.75" customHeight="1">
      <c r="A298" s="13"/>
      <c r="B298" s="13"/>
      <c r="C298" s="34"/>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5.75" customHeight="1">
      <c r="A299" s="13"/>
      <c r="B299" s="13"/>
      <c r="C299" s="34"/>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5.75" customHeight="1">
      <c r="A300" s="13"/>
      <c r="B300" s="13"/>
      <c r="C300" s="34"/>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5.75" customHeight="1">
      <c r="A301" s="13"/>
      <c r="B301" s="13"/>
      <c r="C301" s="34"/>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5.75" customHeight="1">
      <c r="A302" s="13"/>
      <c r="B302" s="13"/>
      <c r="C302" s="34"/>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5.75" customHeight="1">
      <c r="A303" s="13"/>
      <c r="B303" s="13"/>
      <c r="C303" s="34"/>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5.75" customHeight="1">
      <c r="A304" s="13"/>
      <c r="B304" s="13"/>
      <c r="C304" s="34"/>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5.75" customHeight="1">
      <c r="A305" s="13"/>
      <c r="B305" s="13"/>
      <c r="C305" s="34"/>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5.75" customHeight="1">
      <c r="A306" s="13"/>
      <c r="B306" s="13"/>
      <c r="C306" s="34"/>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5.75" customHeight="1">
      <c r="A307" s="13"/>
      <c r="B307" s="13"/>
      <c r="C307" s="34"/>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5.75" customHeight="1">
      <c r="A308" s="13"/>
      <c r="B308" s="13"/>
      <c r="C308" s="34"/>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5.75" customHeight="1">
      <c r="A309" s="13"/>
      <c r="B309" s="13"/>
      <c r="C309" s="34"/>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5.75" customHeight="1">
      <c r="A310" s="13"/>
      <c r="B310" s="13"/>
      <c r="C310" s="34"/>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5.75" customHeight="1">
      <c r="A311" s="13"/>
      <c r="B311" s="13"/>
      <c r="C311" s="34"/>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5.75" customHeight="1">
      <c r="A312" s="13"/>
      <c r="B312" s="13"/>
      <c r="C312" s="34"/>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5.75" customHeight="1">
      <c r="A313" s="13"/>
      <c r="B313" s="13"/>
      <c r="C313" s="34"/>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5.75" customHeight="1">
      <c r="A314" s="13"/>
      <c r="B314" s="13"/>
      <c r="C314" s="34"/>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5.75" customHeight="1">
      <c r="A315" s="13"/>
      <c r="B315" s="13"/>
      <c r="C315" s="34"/>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5.75" customHeight="1">
      <c r="A316" s="13"/>
      <c r="B316" s="13"/>
      <c r="C316" s="34"/>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5.75" customHeight="1">
      <c r="A317" s="13"/>
      <c r="B317" s="13"/>
      <c r="C317" s="34"/>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5.75" customHeight="1">
      <c r="A318" s="13"/>
      <c r="B318" s="13"/>
      <c r="C318" s="34"/>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5.75" customHeight="1">
      <c r="A319" s="13"/>
      <c r="B319" s="13"/>
      <c r="C319" s="34"/>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5.75" customHeight="1">
      <c r="A320" s="13"/>
      <c r="B320" s="13"/>
      <c r="C320" s="34"/>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5.75" customHeight="1">
      <c r="A321" s="13"/>
      <c r="B321" s="13"/>
      <c r="C321" s="34"/>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5.75" customHeight="1">
      <c r="A322" s="13"/>
      <c r="B322" s="13"/>
      <c r="C322" s="34"/>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5.75" customHeight="1">
      <c r="A323" s="13"/>
      <c r="B323" s="13"/>
      <c r="C323" s="34"/>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5.75" customHeight="1">
      <c r="A324" s="13"/>
      <c r="B324" s="13"/>
      <c r="C324" s="34"/>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5.75" customHeight="1">
      <c r="A325" s="13"/>
      <c r="B325" s="13"/>
      <c r="C325" s="34"/>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5.75" customHeight="1">
      <c r="A326" s="13"/>
      <c r="B326" s="13"/>
      <c r="C326" s="34"/>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5.75" customHeight="1">
      <c r="A327" s="13"/>
      <c r="B327" s="13"/>
      <c r="C327" s="34"/>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5.75" customHeight="1">
      <c r="A328" s="13"/>
      <c r="B328" s="13"/>
      <c r="C328" s="34"/>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5.75" customHeight="1">
      <c r="A329" s="13"/>
      <c r="B329" s="13"/>
      <c r="C329" s="34"/>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5.75" customHeight="1">
      <c r="A330" s="13"/>
      <c r="B330" s="13"/>
      <c r="C330" s="34"/>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5.75" customHeight="1">
      <c r="A331" s="13"/>
      <c r="B331" s="13"/>
      <c r="C331" s="34"/>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5.75" customHeight="1">
      <c r="A332" s="13"/>
      <c r="B332" s="13"/>
      <c r="C332" s="34"/>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5.75" customHeight="1">
      <c r="A333" s="13"/>
      <c r="B333" s="13"/>
      <c r="C333" s="34"/>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5.75" customHeight="1">
      <c r="A334" s="13"/>
      <c r="B334" s="13"/>
      <c r="C334" s="34"/>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5.75" customHeight="1">
      <c r="A335" s="13"/>
      <c r="B335" s="13"/>
      <c r="C335" s="34"/>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5.75" customHeight="1">
      <c r="A336" s="13"/>
      <c r="B336" s="13"/>
      <c r="C336" s="34"/>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5.75" customHeight="1">
      <c r="A337" s="13"/>
      <c r="B337" s="13"/>
      <c r="C337" s="34"/>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5.75" customHeight="1">
      <c r="A338" s="13"/>
      <c r="B338" s="13"/>
      <c r="C338" s="34"/>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5.75" customHeight="1">
      <c r="A339" s="13"/>
      <c r="B339" s="13"/>
      <c r="C339" s="34"/>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5.75" customHeight="1">
      <c r="A340" s="13"/>
      <c r="B340" s="13"/>
      <c r="C340" s="34"/>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5.75" customHeight="1">
      <c r="A341" s="13"/>
      <c r="B341" s="13"/>
      <c r="C341" s="34"/>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5.75" customHeight="1">
      <c r="A342" s="13"/>
      <c r="B342" s="13"/>
      <c r="C342" s="34"/>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5.75" customHeight="1">
      <c r="A343" s="13"/>
      <c r="B343" s="13"/>
      <c r="C343" s="34"/>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5.75" customHeight="1">
      <c r="A344" s="13"/>
      <c r="B344" s="13"/>
      <c r="C344" s="34"/>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5.75" customHeight="1">
      <c r="A345" s="13"/>
      <c r="B345" s="13"/>
      <c r="C345" s="34"/>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5.75" customHeight="1">
      <c r="A346" s="13"/>
      <c r="B346" s="13"/>
      <c r="C346" s="34"/>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5.75" customHeight="1">
      <c r="A347" s="13"/>
      <c r="B347" s="13"/>
      <c r="C347" s="34"/>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5.75" customHeight="1">
      <c r="A348" s="13"/>
      <c r="B348" s="13"/>
      <c r="C348" s="34"/>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5.75" customHeight="1">
      <c r="A349" s="13"/>
      <c r="B349" s="13"/>
      <c r="C349" s="34"/>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5.75" customHeight="1">
      <c r="A350" s="13"/>
      <c r="B350" s="13"/>
      <c r="C350" s="34"/>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5.75" customHeight="1">
      <c r="A351" s="13"/>
      <c r="B351" s="13"/>
      <c r="C351" s="34"/>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5.75" customHeight="1">
      <c r="A352" s="13"/>
      <c r="B352" s="13"/>
      <c r="C352" s="34"/>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5.75" customHeight="1">
      <c r="A353" s="13"/>
      <c r="B353" s="13"/>
      <c r="C353" s="34"/>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5.75" customHeight="1">
      <c r="A354" s="13"/>
      <c r="B354" s="13"/>
      <c r="C354" s="34"/>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5.75" customHeight="1">
      <c r="A355" s="13"/>
      <c r="B355" s="13"/>
      <c r="C355" s="34"/>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5.75" customHeight="1">
      <c r="A356" s="13"/>
      <c r="B356" s="13"/>
      <c r="C356" s="34"/>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5.75" customHeight="1">
      <c r="A357" s="13"/>
      <c r="B357" s="13"/>
      <c r="C357" s="34"/>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5.75" customHeight="1">
      <c r="A358" s="13"/>
      <c r="B358" s="13"/>
      <c r="C358" s="34"/>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5.75" customHeight="1">
      <c r="A359" s="13"/>
      <c r="B359" s="13"/>
      <c r="C359" s="34"/>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5.75" customHeight="1">
      <c r="A360" s="13"/>
      <c r="B360" s="13"/>
      <c r="C360" s="34"/>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5.75" customHeight="1">
      <c r="A361" s="13"/>
      <c r="B361" s="13"/>
      <c r="C361" s="34"/>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5.75" customHeight="1">
      <c r="A362" s="13"/>
      <c r="B362" s="13"/>
      <c r="C362" s="34"/>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5.75" customHeight="1">
      <c r="A363" s="13"/>
      <c r="B363" s="13"/>
      <c r="C363" s="34"/>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5.75" customHeight="1">
      <c r="A364" s="13"/>
      <c r="B364" s="13"/>
      <c r="C364" s="34"/>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5.75" customHeight="1">
      <c r="A365" s="13"/>
      <c r="B365" s="13"/>
      <c r="C365" s="34"/>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5.75" customHeight="1">
      <c r="A366" s="13"/>
      <c r="B366" s="13"/>
      <c r="C366" s="34"/>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5.75" customHeight="1">
      <c r="A367" s="13"/>
      <c r="B367" s="13"/>
      <c r="C367" s="34"/>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5.75" customHeight="1">
      <c r="A368" s="13"/>
      <c r="B368" s="13"/>
      <c r="C368" s="34"/>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ht="15.75" customHeight="1">
      <c r="A369" s="13"/>
      <c r="B369" s="13"/>
      <c r="C369" s="34"/>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ht="15.75" customHeight="1">
      <c r="A370" s="13"/>
      <c r="B370" s="13"/>
      <c r="C370" s="34"/>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ht="15.75" customHeight="1">
      <c r="A371" s="13"/>
      <c r="B371" s="13"/>
      <c r="C371" s="34"/>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ht="15.75" customHeight="1">
      <c r="A372" s="13"/>
      <c r="B372" s="13"/>
      <c r="C372" s="34"/>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ht="15.75" customHeight="1">
      <c r="A373" s="13"/>
      <c r="B373" s="13"/>
      <c r="C373" s="34"/>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ht="15.75" customHeight="1">
      <c r="A374" s="13"/>
      <c r="B374" s="13"/>
      <c r="C374" s="34"/>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ht="15.75" customHeight="1">
      <c r="A375" s="13"/>
      <c r="B375" s="13"/>
      <c r="C375" s="34"/>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ht="15.75" customHeight="1">
      <c r="A376" s="13"/>
      <c r="B376" s="13"/>
      <c r="C376" s="34"/>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ht="15.75" customHeight="1">
      <c r="A377" s="13"/>
      <c r="B377" s="13"/>
      <c r="C377" s="34"/>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F136:F140"/>
    <mergeCell ref="B157:G157"/>
    <mergeCell ref="B2:G2"/>
    <mergeCell ref="B4:C4"/>
    <mergeCell ref="D4:E4"/>
    <mergeCell ref="B17:G17"/>
    <mergeCell ref="B36:G36"/>
    <mergeCell ref="B127:J127"/>
    <mergeCell ref="B129:G129"/>
  </mergeCells>
  <conditionalFormatting sqref="D177">
    <cfRule type="expression" dxfId="1" priority="1">
      <formula>$D$177="Threshold Hit"</formula>
    </cfRule>
  </conditionalFormatting>
  <conditionalFormatting sqref="D177">
    <cfRule type="expression" dxfId="0" priority="2">
      <formula>$D$177="Below Threshold"</formula>
    </cfRule>
  </conditionalFormatting>
  <conditionalFormatting sqref="G15">
    <cfRule type="expression" dxfId="1" priority="3">
      <formula>ABS($G$15)&lt;1</formula>
    </cfRule>
  </conditionalFormatting>
  <conditionalFormatting sqref="G15">
    <cfRule type="expression" dxfId="2" priority="4">
      <formula>$G$15&gt;1</formula>
    </cfRule>
  </conditionalFormatting>
  <conditionalFormatting sqref="G15">
    <cfRule type="expression" dxfId="0" priority="5">
      <formula>$G$15&lt;-1</formula>
    </cfRule>
  </conditionalFormatting>
  <dataValidations>
    <dataValidation type="list" allowBlank="1" showErrorMessage="1" sqref="G136">
      <formula1>'Data Validation'!$B$3:$B$4</formula1>
    </dataValidation>
    <dataValidation type="list" allowBlank="1" showErrorMessage="1" sqref="C20:C29">
      <formula1>'Data Validation'!$D$3:$D$9</formula1>
    </dataValidation>
    <dataValidation type="list" allowBlank="1" showErrorMessage="1" sqref="C31">
      <formula1>"Hard Debt,Soft Debt,Other"</formula1>
    </dataValidation>
  </dataValidations>
  <printOptions/>
  <pageMargins bottom="0.75" footer="0.0" header="0.0" left="0.7" right="0.7" top="0.75"/>
  <pageSetup orientation="portrait"/>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7CAAC"/>
    <pageSetUpPr/>
  </sheetPr>
  <sheetViews>
    <sheetView workbookViewId="0"/>
  </sheetViews>
  <sheetFormatPr customHeight="1" defaultColWidth="12.63" defaultRowHeight="15.0"/>
  <cols>
    <col customWidth="1" min="1" max="1" width="2.63"/>
    <col customWidth="1" min="2" max="2" width="32.13"/>
    <col customWidth="1" min="3" max="3" width="13.5"/>
    <col customWidth="1" min="4" max="6" width="13.38"/>
    <col customWidth="1" min="8" max="8" width="12.13"/>
    <col customWidth="1" min="9" max="11" width="13.38"/>
    <col customWidth="1" min="12" max="26" width="8.0"/>
  </cols>
  <sheetData>
    <row r="1" ht="9.0" customHeight="1">
      <c r="A1" s="13"/>
      <c r="B1" s="13"/>
      <c r="C1" s="13"/>
      <c r="D1" s="13"/>
      <c r="E1" s="13"/>
      <c r="F1" s="13"/>
      <c r="G1" s="13"/>
      <c r="H1" s="13"/>
      <c r="I1" s="13"/>
      <c r="J1" s="13"/>
      <c r="K1" s="13"/>
      <c r="L1" s="13"/>
      <c r="M1" s="13"/>
      <c r="N1" s="13"/>
      <c r="O1" s="13"/>
      <c r="P1" s="13"/>
      <c r="Q1" s="13"/>
      <c r="R1" s="13"/>
      <c r="S1" s="13"/>
      <c r="T1" s="13"/>
      <c r="U1" s="13"/>
      <c r="V1" s="13"/>
      <c r="W1" s="13"/>
      <c r="X1" s="13"/>
      <c r="Y1" s="13"/>
      <c r="Z1" s="13"/>
    </row>
    <row r="2">
      <c r="A2" s="13"/>
      <c r="B2" s="36" t="s">
        <v>180</v>
      </c>
      <c r="C2" s="37"/>
      <c r="D2" s="37"/>
      <c r="E2" s="37"/>
      <c r="F2" s="37"/>
      <c r="G2" s="37"/>
      <c r="H2" s="37"/>
      <c r="I2" s="199"/>
      <c r="J2" s="199"/>
      <c r="K2" s="13"/>
      <c r="L2" s="13"/>
      <c r="M2" s="13"/>
      <c r="N2" s="13"/>
      <c r="O2" s="13"/>
      <c r="P2" s="13"/>
      <c r="Q2" s="13"/>
      <c r="R2" s="13"/>
      <c r="S2" s="13"/>
      <c r="T2" s="13"/>
      <c r="U2" s="13"/>
      <c r="V2" s="13"/>
      <c r="W2" s="13"/>
      <c r="X2" s="13"/>
      <c r="Y2" s="13"/>
      <c r="Z2" s="13"/>
    </row>
    <row r="3">
      <c r="A3" s="13"/>
      <c r="B3" s="200"/>
      <c r="C3" s="200"/>
      <c r="D3" s="200"/>
      <c r="E3" s="200"/>
      <c r="F3" s="200"/>
      <c r="G3" s="200"/>
      <c r="H3" s="200"/>
      <c r="I3" s="199"/>
      <c r="J3" s="199"/>
      <c r="K3" s="13"/>
      <c r="L3" s="13"/>
      <c r="M3" s="13"/>
      <c r="N3" s="13"/>
      <c r="O3" s="13"/>
      <c r="P3" s="13"/>
      <c r="Q3" s="13"/>
      <c r="R3" s="13"/>
      <c r="S3" s="13"/>
      <c r="T3" s="13"/>
      <c r="U3" s="13"/>
      <c r="V3" s="13"/>
      <c r="W3" s="13"/>
      <c r="X3" s="13"/>
      <c r="Y3" s="13"/>
      <c r="Z3" s="13"/>
    </row>
    <row r="4">
      <c r="A4" s="13"/>
      <c r="B4" s="201" t="s">
        <v>181</v>
      </c>
      <c r="C4" s="143">
        <f>egi_three</f>
        <v>802536.12</v>
      </c>
      <c r="D4" s="200"/>
      <c r="E4" s="200"/>
      <c r="F4" s="200"/>
      <c r="G4" s="39" t="s">
        <v>44</v>
      </c>
      <c r="H4" s="39"/>
      <c r="I4" s="199"/>
      <c r="J4" s="199"/>
      <c r="K4" s="13"/>
      <c r="L4" s="13"/>
      <c r="M4" s="13"/>
      <c r="N4" s="13"/>
      <c r="O4" s="13"/>
      <c r="P4" s="13"/>
      <c r="Q4" s="13"/>
      <c r="R4" s="13"/>
      <c r="S4" s="13"/>
      <c r="T4" s="13"/>
      <c r="U4" s="13"/>
      <c r="V4" s="13"/>
      <c r="W4" s="13"/>
      <c r="X4" s="13"/>
      <c r="Y4" s="13"/>
      <c r="Z4" s="13"/>
    </row>
    <row r="5">
      <c r="A5" s="13"/>
      <c r="B5" s="202" t="s">
        <v>182</v>
      </c>
      <c r="C5" s="203">
        <f>totalopex_three</f>
        <v>498446.4115</v>
      </c>
      <c r="D5" s="200"/>
      <c r="E5" s="200"/>
      <c r="F5" s="200"/>
      <c r="G5" s="200"/>
      <c r="H5" s="200"/>
      <c r="I5" s="199"/>
      <c r="J5" s="199"/>
      <c r="K5" s="13"/>
      <c r="L5" s="13"/>
      <c r="M5" s="13"/>
      <c r="N5" s="13"/>
      <c r="O5" s="13"/>
      <c r="P5" s="13"/>
      <c r="Q5" s="13"/>
      <c r="R5" s="13"/>
      <c r="S5" s="13"/>
      <c r="T5" s="13"/>
      <c r="U5" s="13"/>
      <c r="V5" s="13"/>
      <c r="W5" s="13"/>
      <c r="X5" s="13"/>
      <c r="Y5" s="13"/>
      <c r="Z5" s="13"/>
    </row>
    <row r="6">
      <c r="A6" s="13"/>
      <c r="B6" s="204" t="s">
        <v>183</v>
      </c>
      <c r="C6" s="205">
        <f>C4-C5</f>
        <v>304089.7085</v>
      </c>
      <c r="D6" s="200"/>
      <c r="E6" s="200"/>
      <c r="F6" s="200"/>
      <c r="G6" s="200"/>
      <c r="H6" s="200"/>
      <c r="I6" s="199"/>
      <c r="J6" s="199"/>
      <c r="K6" s="13"/>
      <c r="L6" s="13"/>
      <c r="M6" s="13"/>
      <c r="N6" s="13"/>
      <c r="O6" s="13"/>
      <c r="P6" s="13"/>
      <c r="Q6" s="13"/>
      <c r="R6" s="13"/>
      <c r="S6" s="13"/>
      <c r="T6" s="13"/>
      <c r="U6" s="13"/>
      <c r="V6" s="13"/>
      <c r="W6" s="13"/>
      <c r="X6" s="13"/>
      <c r="Y6" s="13"/>
      <c r="Z6" s="13"/>
    </row>
    <row r="7">
      <c r="A7" s="13"/>
      <c r="B7" s="15"/>
      <c r="C7" s="13"/>
      <c r="D7" s="13"/>
      <c r="E7" s="13"/>
      <c r="F7" s="13"/>
      <c r="G7" s="13"/>
      <c r="H7" s="13"/>
      <c r="I7" s="13"/>
      <c r="J7" s="13"/>
      <c r="K7" s="13"/>
      <c r="L7" s="13"/>
      <c r="M7" s="13"/>
      <c r="N7" s="13"/>
      <c r="O7" s="13"/>
      <c r="P7" s="13"/>
      <c r="Q7" s="13"/>
      <c r="R7" s="13"/>
      <c r="S7" s="13"/>
      <c r="T7" s="13"/>
      <c r="U7" s="13"/>
      <c r="V7" s="13"/>
      <c r="W7" s="13"/>
      <c r="X7" s="13"/>
      <c r="Y7" s="13"/>
      <c r="Z7" s="13"/>
    </row>
    <row r="8">
      <c r="A8" s="13"/>
      <c r="B8" s="206" t="s">
        <v>184</v>
      </c>
      <c r="C8" s="37"/>
      <c r="D8" s="37"/>
      <c r="E8" s="37"/>
      <c r="F8" s="37"/>
      <c r="G8" s="37"/>
      <c r="H8" s="207"/>
      <c r="I8" s="13"/>
      <c r="J8" s="13"/>
      <c r="K8" s="13"/>
      <c r="L8" s="13"/>
      <c r="M8" s="13"/>
      <c r="N8" s="13"/>
      <c r="O8" s="13"/>
      <c r="P8" s="13"/>
      <c r="Q8" s="13"/>
      <c r="R8" s="13"/>
      <c r="S8" s="13"/>
      <c r="T8" s="13"/>
      <c r="U8" s="13"/>
      <c r="V8" s="13"/>
      <c r="W8" s="13"/>
      <c r="X8" s="13"/>
      <c r="Y8" s="13"/>
      <c r="Z8" s="13"/>
    </row>
    <row r="9">
      <c r="A9" s="13"/>
      <c r="B9" s="13"/>
      <c r="C9" s="13"/>
      <c r="D9" s="13"/>
      <c r="E9" s="13"/>
      <c r="F9" s="13"/>
      <c r="G9" s="13"/>
      <c r="H9" s="13"/>
      <c r="I9" s="13"/>
      <c r="J9" s="13"/>
      <c r="K9" s="13"/>
      <c r="L9" s="13"/>
      <c r="M9" s="13"/>
      <c r="N9" s="13"/>
      <c r="O9" s="13"/>
      <c r="P9" s="13"/>
      <c r="Q9" s="13"/>
      <c r="R9" s="13"/>
      <c r="S9" s="13"/>
      <c r="T9" s="13"/>
      <c r="U9" s="13"/>
      <c r="V9" s="13"/>
      <c r="W9" s="13"/>
      <c r="X9" s="13"/>
      <c r="Y9" s="13"/>
      <c r="Z9" s="13"/>
    </row>
    <row r="10">
      <c r="A10" s="13"/>
      <c r="B10" s="199" t="s">
        <v>185</v>
      </c>
      <c r="C10" s="13"/>
      <c r="D10" s="13"/>
      <c r="E10" s="13"/>
      <c r="F10" s="13"/>
      <c r="G10" s="13"/>
      <c r="H10" s="13"/>
      <c r="I10" s="13"/>
      <c r="J10" s="13"/>
      <c r="K10" s="13"/>
      <c r="L10" s="13"/>
      <c r="M10" s="13"/>
      <c r="N10" s="13"/>
      <c r="O10" s="13"/>
      <c r="P10" s="13"/>
      <c r="Q10" s="13"/>
      <c r="R10" s="13"/>
      <c r="S10" s="13"/>
      <c r="T10" s="13"/>
      <c r="U10" s="13"/>
      <c r="V10" s="13"/>
      <c r="W10" s="13"/>
      <c r="X10" s="13"/>
      <c r="Y10" s="13"/>
      <c r="Z10" s="13"/>
    </row>
    <row r="11">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ht="31.5" customHeight="1">
      <c r="A12" s="13"/>
      <c r="B12" s="208" t="s">
        <v>186</v>
      </c>
      <c r="C12" s="209" t="s">
        <v>187</v>
      </c>
      <c r="D12" s="209" t="s">
        <v>188</v>
      </c>
      <c r="E12" s="209" t="s">
        <v>189</v>
      </c>
      <c r="F12" s="209" t="s">
        <v>190</v>
      </c>
      <c r="G12" s="210" t="s">
        <v>191</v>
      </c>
      <c r="H12" s="211" t="s">
        <v>192</v>
      </c>
      <c r="I12" s="13"/>
      <c r="J12" s="13"/>
      <c r="K12" s="13"/>
      <c r="L12" s="13"/>
      <c r="M12" s="13"/>
      <c r="N12" s="13"/>
      <c r="O12" s="13"/>
      <c r="P12" s="13"/>
      <c r="Q12" s="13"/>
      <c r="R12" s="13"/>
      <c r="S12" s="13"/>
      <c r="T12" s="13"/>
      <c r="U12" s="13"/>
      <c r="V12" s="13"/>
      <c r="W12" s="13"/>
      <c r="X12" s="13"/>
      <c r="Y12" s="13"/>
      <c r="Z12" s="13"/>
    </row>
    <row r="13">
      <c r="A13" s="13">
        <v>1.0</v>
      </c>
      <c r="B13" s="76" t="s">
        <v>641</v>
      </c>
      <c r="C13" s="212">
        <v>3.0</v>
      </c>
      <c r="D13" s="212">
        <f>'Assumptions (P3)'!D31</f>
        <v>496</v>
      </c>
      <c r="E13" s="213">
        <f t="array" ref="E13">INDEX('Sec 42 Rent Limits'!$C$12:$C$31,MATCH('Income &amp; Expenses (P3)'!$B13,'Sec 42 Rent Limits'!$B$12:$B$31,0))</f>
        <v>641</v>
      </c>
      <c r="F13" s="213">
        <f>-'Assumptions (P2)'!D31</f>
        <v>-52</v>
      </c>
      <c r="G13" s="214">
        <f t="shared" ref="G13:G37" si="1">E13+F13</f>
        <v>589</v>
      </c>
      <c r="H13" s="215">
        <f t="shared" ref="H13:H37" si="2">C13*G13*12</f>
        <v>21204</v>
      </c>
      <c r="I13" s="13"/>
      <c r="J13" s="58"/>
      <c r="K13" s="13" t="s">
        <v>606</v>
      </c>
      <c r="L13" s="57">
        <f>SUM(C13:C17)</f>
        <v>9</v>
      </c>
      <c r="M13" s="13">
        <v>9.0</v>
      </c>
      <c r="N13" s="13"/>
      <c r="O13" s="13"/>
      <c r="P13" s="13"/>
      <c r="Q13" s="13"/>
      <c r="R13" s="13"/>
      <c r="S13" s="13"/>
      <c r="T13" s="13"/>
      <c r="U13" s="13"/>
      <c r="V13" s="13"/>
      <c r="W13" s="13"/>
      <c r="X13" s="13"/>
      <c r="Y13" s="13"/>
      <c r="Z13" s="13"/>
    </row>
    <row r="14">
      <c r="A14" s="13">
        <v>2.0</v>
      </c>
      <c r="B14" s="216" t="s">
        <v>642</v>
      </c>
      <c r="C14" s="217">
        <v>2.0</v>
      </c>
      <c r="D14" s="217">
        <f>D13</f>
        <v>496</v>
      </c>
      <c r="E14" s="213">
        <f t="array" ref="E14">INDEX('Sec 42 Rent Limits'!$C$12:$C$31,MATCH('Income &amp; Expenses (P3)'!$B14,'Sec 42 Rent Limits'!$B$12:$B$31,0))</f>
        <v>855</v>
      </c>
      <c r="F14" s="218">
        <f t="shared" ref="F14:F17" si="3">F13</f>
        <v>-52</v>
      </c>
      <c r="G14" s="219">
        <f t="shared" si="1"/>
        <v>803</v>
      </c>
      <c r="H14" s="215">
        <f t="shared" si="2"/>
        <v>19272</v>
      </c>
      <c r="I14" s="58"/>
      <c r="J14" s="58"/>
      <c r="K14" s="57" t="s">
        <v>420</v>
      </c>
      <c r="L14" s="57">
        <f>SUM(C18:C22)</f>
        <v>48</v>
      </c>
      <c r="M14" s="13">
        <v>48.0</v>
      </c>
      <c r="N14" s="13"/>
      <c r="O14" s="13"/>
      <c r="P14" s="13"/>
      <c r="Q14" s="13"/>
      <c r="R14" s="13"/>
      <c r="S14" s="13"/>
      <c r="T14" s="13"/>
      <c r="U14" s="13"/>
      <c r="V14" s="13"/>
      <c r="W14" s="13"/>
      <c r="X14" s="13"/>
      <c r="Y14" s="13"/>
      <c r="Z14" s="13"/>
    </row>
    <row r="15">
      <c r="A15" s="13">
        <v>3.0</v>
      </c>
      <c r="B15" s="216" t="s">
        <v>643</v>
      </c>
      <c r="C15" s="217">
        <v>2.0</v>
      </c>
      <c r="D15" s="217">
        <f>D13</f>
        <v>496</v>
      </c>
      <c r="E15" s="213">
        <f t="array" ref="E15">INDEX('Sec 42 Rent Limits'!$C$12:$C$31,MATCH('Income &amp; Expenses (P3)'!$B15,'Sec 42 Rent Limits'!$B$12:$B$31,0))</f>
        <v>1068</v>
      </c>
      <c r="F15" s="218">
        <f t="shared" si="3"/>
        <v>-52</v>
      </c>
      <c r="G15" s="219">
        <f t="shared" si="1"/>
        <v>1016</v>
      </c>
      <c r="H15" s="215">
        <f t="shared" si="2"/>
        <v>24384</v>
      </c>
      <c r="I15" s="13"/>
      <c r="J15" s="13"/>
      <c r="K15" s="57" t="s">
        <v>422</v>
      </c>
      <c r="L15" s="57">
        <f>SUM(C23:C27)</f>
        <v>9</v>
      </c>
      <c r="M15" s="13">
        <v>9.0</v>
      </c>
      <c r="N15" s="13"/>
      <c r="O15" s="13"/>
      <c r="P15" s="13"/>
      <c r="Q15" s="13"/>
      <c r="R15" s="13"/>
      <c r="S15" s="13"/>
      <c r="T15" s="13"/>
      <c r="U15" s="13"/>
      <c r="V15" s="13"/>
      <c r="W15" s="13"/>
      <c r="X15" s="13"/>
      <c r="Y15" s="13"/>
      <c r="Z15" s="13"/>
    </row>
    <row r="16">
      <c r="A16" s="13">
        <v>4.0</v>
      </c>
      <c r="B16" s="216" t="s">
        <v>644</v>
      </c>
      <c r="C16" s="217">
        <v>1.0</v>
      </c>
      <c r="D16" s="217">
        <f t="shared" ref="D16:D17" si="4">D13</f>
        <v>496</v>
      </c>
      <c r="E16" s="213">
        <f t="array" ref="E16">INDEX('Sec 42 Rent Limits'!$C$12:$C$31,MATCH('Income &amp; Expenses (P3)'!$B16,'Sec 42 Rent Limits'!$B$12:$B$31,0))</f>
        <v>1282</v>
      </c>
      <c r="F16" s="218">
        <f t="shared" si="3"/>
        <v>-52</v>
      </c>
      <c r="G16" s="222">
        <f t="shared" si="1"/>
        <v>1230</v>
      </c>
      <c r="H16" s="215">
        <f t="shared" si="2"/>
        <v>14760</v>
      </c>
      <c r="I16" s="13"/>
      <c r="J16" s="13"/>
      <c r="K16" s="13"/>
      <c r="L16" s="13"/>
      <c r="M16" s="13"/>
      <c r="N16" s="13"/>
      <c r="O16" s="13"/>
      <c r="P16" s="13"/>
      <c r="Q16" s="13"/>
      <c r="R16" s="13"/>
      <c r="S16" s="13"/>
      <c r="T16" s="13"/>
      <c r="U16" s="13"/>
      <c r="V16" s="13"/>
      <c r="W16" s="13"/>
      <c r="X16" s="13"/>
      <c r="Y16" s="13"/>
      <c r="Z16" s="13"/>
    </row>
    <row r="17">
      <c r="A17" s="13">
        <v>5.0</v>
      </c>
      <c r="B17" s="216" t="s">
        <v>645</v>
      </c>
      <c r="C17" s="217">
        <v>1.0</v>
      </c>
      <c r="D17" s="217">
        <f t="shared" si="4"/>
        <v>496</v>
      </c>
      <c r="E17" s="213">
        <f t="array" ref="E17">INDEX('Sec 42 Rent Limits'!$C$12:$C$31,MATCH('Income &amp; Expenses (P3)'!$B17,'Sec 42 Rent Limits'!$B$12:$B$31,0))</f>
        <v>1710</v>
      </c>
      <c r="F17" s="218">
        <f t="shared" si="3"/>
        <v>-52</v>
      </c>
      <c r="G17" s="219">
        <f t="shared" si="1"/>
        <v>1658</v>
      </c>
      <c r="H17" s="215">
        <f t="shared" si="2"/>
        <v>19896</v>
      </c>
      <c r="I17" s="13"/>
      <c r="J17" s="13"/>
      <c r="K17" s="13"/>
      <c r="L17" s="13"/>
      <c r="M17" s="13"/>
      <c r="N17" s="13"/>
      <c r="O17" s="13"/>
      <c r="P17" s="13"/>
      <c r="Q17" s="13"/>
      <c r="R17" s="13"/>
      <c r="S17" s="13"/>
      <c r="T17" s="13"/>
      <c r="U17" s="13"/>
      <c r="V17" s="13"/>
      <c r="W17" s="13"/>
      <c r="X17" s="13"/>
      <c r="Y17" s="13"/>
      <c r="Z17" s="13"/>
    </row>
    <row r="18">
      <c r="A18" s="13">
        <v>6.0</v>
      </c>
      <c r="B18" s="76" t="s">
        <v>576</v>
      </c>
      <c r="C18" s="217">
        <v>10.0</v>
      </c>
      <c r="D18" s="217">
        <f>'Assumptions (P2)'!D26</f>
        <v>650</v>
      </c>
      <c r="E18" s="213">
        <f t="array" ref="E18">INDEX('Sec 42 Rent Limits'!$C$12:$C$31,MATCH('Income &amp; Expenses (P3)'!$B18,'Sec 42 Rent Limits'!$B$12:$B$31,0))</f>
        <v>687</v>
      </c>
      <c r="F18" s="218">
        <f>-'Assumptions (P2)'!D32</f>
        <v>-59</v>
      </c>
      <c r="G18" s="219">
        <f t="shared" si="1"/>
        <v>628</v>
      </c>
      <c r="H18" s="215">
        <f t="shared" si="2"/>
        <v>75360</v>
      </c>
      <c r="I18" s="13"/>
      <c r="J18" s="13"/>
      <c r="K18" s="13"/>
      <c r="L18" s="13"/>
      <c r="M18" s="13"/>
      <c r="N18" s="13"/>
      <c r="O18" s="13"/>
      <c r="P18" s="13"/>
      <c r="Q18" s="13"/>
      <c r="R18" s="13"/>
      <c r="S18" s="13"/>
      <c r="T18" s="13"/>
      <c r="U18" s="13"/>
      <c r="V18" s="13"/>
      <c r="W18" s="13"/>
      <c r="X18" s="13"/>
      <c r="Y18" s="13"/>
      <c r="Z18" s="13"/>
    </row>
    <row r="19">
      <c r="A19" s="13">
        <v>7.0</v>
      </c>
      <c r="B19" s="216" t="s">
        <v>577</v>
      </c>
      <c r="C19" s="217">
        <v>12.0</v>
      </c>
      <c r="D19" s="217">
        <f t="shared" ref="D19:D22" si="5">D18</f>
        <v>650</v>
      </c>
      <c r="E19" s="213">
        <f t="array" ref="E19">INDEX('Sec 42 Rent Limits'!$C$12:$C$31,MATCH('Income &amp; Expenses (P3)'!$B19,'Sec 42 Rent Limits'!$B$12:$B$31,0))</f>
        <v>916</v>
      </c>
      <c r="F19" s="218">
        <f t="shared" ref="F19:F22" si="6">F18</f>
        <v>-59</v>
      </c>
      <c r="G19" s="219">
        <f t="shared" si="1"/>
        <v>857</v>
      </c>
      <c r="H19" s="215">
        <f t="shared" si="2"/>
        <v>123408</v>
      </c>
      <c r="I19" s="13"/>
      <c r="J19" s="13"/>
      <c r="K19" s="13"/>
      <c r="L19" s="13"/>
      <c r="M19" s="13"/>
      <c r="N19" s="13"/>
      <c r="O19" s="13"/>
      <c r="P19" s="13"/>
      <c r="Q19" s="13"/>
      <c r="R19" s="13"/>
      <c r="S19" s="13"/>
      <c r="T19" s="13"/>
      <c r="U19" s="13"/>
      <c r="V19" s="13"/>
      <c r="W19" s="13"/>
      <c r="X19" s="13"/>
      <c r="Y19" s="13"/>
      <c r="Z19" s="13"/>
    </row>
    <row r="20">
      <c r="A20" s="13">
        <v>8.0</v>
      </c>
      <c r="B20" s="216" t="s">
        <v>578</v>
      </c>
      <c r="C20" s="217">
        <v>14.0</v>
      </c>
      <c r="D20" s="217">
        <f t="shared" si="5"/>
        <v>650</v>
      </c>
      <c r="E20" s="213">
        <f t="array" ref="E20">INDEX('Sec 42 Rent Limits'!$C$12:$C$31,MATCH('Income &amp; Expenses (P3)'!$B20,'Sec 42 Rent Limits'!$B$12:$B$31,0))</f>
        <v>1145</v>
      </c>
      <c r="F20" s="218">
        <f t="shared" si="6"/>
        <v>-59</v>
      </c>
      <c r="G20" s="219">
        <f t="shared" si="1"/>
        <v>1086</v>
      </c>
      <c r="H20" s="215">
        <f t="shared" si="2"/>
        <v>182448</v>
      </c>
      <c r="I20" s="13"/>
      <c r="J20" s="13"/>
      <c r="K20" s="13"/>
      <c r="L20" s="13"/>
      <c r="M20" s="13"/>
      <c r="N20" s="13"/>
      <c r="O20" s="13"/>
      <c r="P20" s="13"/>
      <c r="Q20" s="13"/>
      <c r="R20" s="13"/>
      <c r="S20" s="13"/>
      <c r="T20" s="13"/>
      <c r="U20" s="13"/>
      <c r="V20" s="13"/>
      <c r="W20" s="13"/>
      <c r="X20" s="13"/>
      <c r="Y20" s="13"/>
      <c r="Z20" s="13"/>
    </row>
    <row r="21" ht="15.75" customHeight="1">
      <c r="A21" s="13">
        <v>9.0</v>
      </c>
      <c r="B21" s="216" t="s">
        <v>580</v>
      </c>
      <c r="C21" s="217">
        <v>8.0</v>
      </c>
      <c r="D21" s="217">
        <f t="shared" si="5"/>
        <v>650</v>
      </c>
      <c r="E21" s="213">
        <f t="array" ref="E21">INDEX('Sec 42 Rent Limits'!$C$12:$C$31,MATCH('Income &amp; Expenses (P3)'!$B21,'Sec 42 Rent Limits'!$B$12:$B$31,0))</f>
        <v>1374</v>
      </c>
      <c r="F21" s="218">
        <f t="shared" si="6"/>
        <v>-59</v>
      </c>
      <c r="G21" s="222">
        <f t="shared" si="1"/>
        <v>1315</v>
      </c>
      <c r="H21" s="215">
        <f t="shared" si="2"/>
        <v>126240</v>
      </c>
      <c r="I21" s="13"/>
      <c r="J21" s="13"/>
      <c r="K21" s="13"/>
      <c r="L21" s="13"/>
      <c r="M21" s="13"/>
      <c r="N21" s="13"/>
      <c r="O21" s="13"/>
      <c r="P21" s="13"/>
      <c r="Q21" s="13"/>
      <c r="R21" s="13"/>
      <c r="S21" s="13"/>
      <c r="T21" s="13"/>
      <c r="U21" s="13"/>
      <c r="V21" s="13"/>
      <c r="W21" s="13"/>
      <c r="X21" s="13"/>
      <c r="Y21" s="13"/>
      <c r="Z21" s="13"/>
    </row>
    <row r="22" ht="15.75" customHeight="1">
      <c r="A22" s="13">
        <v>10.0</v>
      </c>
      <c r="B22" s="216" t="s">
        <v>581</v>
      </c>
      <c r="C22" s="217">
        <v>4.0</v>
      </c>
      <c r="D22" s="217">
        <f t="shared" si="5"/>
        <v>650</v>
      </c>
      <c r="E22" s="213">
        <f t="array" ref="E22">INDEX('Sec 42 Rent Limits'!$C$12:$C$31,MATCH('Income &amp; Expenses (P3)'!$B22,'Sec 42 Rent Limits'!$B$12:$B$31,0))</f>
        <v>1832</v>
      </c>
      <c r="F22" s="218">
        <f t="shared" si="6"/>
        <v>-59</v>
      </c>
      <c r="G22" s="219">
        <f t="shared" si="1"/>
        <v>1773</v>
      </c>
      <c r="H22" s="215">
        <f t="shared" si="2"/>
        <v>85104</v>
      </c>
      <c r="I22" s="13"/>
      <c r="J22" s="13"/>
      <c r="K22" s="13"/>
      <c r="L22" s="13"/>
      <c r="M22" s="13"/>
      <c r="N22" s="13"/>
      <c r="O22" s="13"/>
      <c r="P22" s="13"/>
      <c r="Q22" s="13"/>
      <c r="R22" s="13"/>
      <c r="S22" s="13"/>
      <c r="T22" s="13"/>
      <c r="U22" s="13"/>
      <c r="V22" s="13"/>
      <c r="W22" s="13"/>
      <c r="X22" s="13"/>
      <c r="Y22" s="13"/>
      <c r="Z22" s="13"/>
    </row>
    <row r="23" ht="15.75" customHeight="1">
      <c r="A23" s="13">
        <v>11.0</v>
      </c>
      <c r="B23" s="76" t="s">
        <v>582</v>
      </c>
      <c r="C23" s="217">
        <v>1.0</v>
      </c>
      <c r="D23" s="217">
        <f>'Assumptions (P2)'!D27</f>
        <v>960</v>
      </c>
      <c r="E23" s="213">
        <f t="array" ref="E23">INDEX('Sec 42 Rent Limits'!$C$12:$C$31,MATCH('Income &amp; Expenses (P3)'!$B23,'Sec 42 Rent Limits'!$B$12:$B$31,0))</f>
        <v>824</v>
      </c>
      <c r="F23" s="218">
        <f>-'Assumptions (P2)'!D33</f>
        <v>-75</v>
      </c>
      <c r="G23" s="219">
        <f t="shared" si="1"/>
        <v>749</v>
      </c>
      <c r="H23" s="215">
        <f t="shared" si="2"/>
        <v>8988</v>
      </c>
      <c r="I23" s="13"/>
      <c r="J23" s="13"/>
      <c r="K23" s="13"/>
      <c r="L23" s="13"/>
      <c r="M23" s="13"/>
      <c r="N23" s="13"/>
      <c r="O23" s="13"/>
      <c r="P23" s="13"/>
      <c r="Q23" s="13"/>
      <c r="R23" s="13"/>
      <c r="S23" s="13"/>
      <c r="T23" s="13"/>
      <c r="U23" s="13"/>
      <c r="V23" s="13"/>
      <c r="W23" s="13"/>
      <c r="X23" s="13"/>
      <c r="Y23" s="13"/>
      <c r="Z23" s="13"/>
    </row>
    <row r="24" ht="15.75" customHeight="1">
      <c r="A24" s="13">
        <v>12.0</v>
      </c>
      <c r="B24" s="216" t="s">
        <v>583</v>
      </c>
      <c r="C24" s="217">
        <v>1.0</v>
      </c>
      <c r="D24" s="217">
        <f t="shared" ref="D24:D27" si="7">D23</f>
        <v>960</v>
      </c>
      <c r="E24" s="213">
        <f t="array" ref="E24">INDEX('Sec 42 Rent Limits'!$C$12:$C$31,MATCH('Income &amp; Expenses (P3)'!$B24,'Sec 42 Rent Limits'!$B$12:$B$31,0))</f>
        <v>1099</v>
      </c>
      <c r="F24" s="218">
        <f t="shared" ref="F24:F27" si="8">F23</f>
        <v>-75</v>
      </c>
      <c r="G24" s="219">
        <f t="shared" si="1"/>
        <v>1024</v>
      </c>
      <c r="H24" s="215">
        <f t="shared" si="2"/>
        <v>12288</v>
      </c>
      <c r="I24" s="13"/>
      <c r="J24" s="13"/>
      <c r="K24" s="13"/>
      <c r="L24" s="13"/>
      <c r="M24" s="13"/>
      <c r="N24" s="13"/>
      <c r="O24" s="13"/>
      <c r="P24" s="13"/>
      <c r="Q24" s="13"/>
      <c r="R24" s="13"/>
      <c r="S24" s="13"/>
      <c r="T24" s="13"/>
      <c r="U24" s="13"/>
      <c r="V24" s="13"/>
      <c r="W24" s="13"/>
      <c r="X24" s="13"/>
      <c r="Y24" s="13"/>
      <c r="Z24" s="13"/>
    </row>
    <row r="25" ht="15.75" customHeight="1">
      <c r="A25" s="13">
        <v>13.0</v>
      </c>
      <c r="B25" s="216" t="s">
        <v>584</v>
      </c>
      <c r="C25" s="217">
        <v>2.0</v>
      </c>
      <c r="D25" s="217">
        <f t="shared" si="7"/>
        <v>960</v>
      </c>
      <c r="E25" s="213">
        <f t="array" ref="E25">INDEX('Sec 42 Rent Limits'!$C$12:$C$31,MATCH('Income &amp; Expenses (P3)'!$B25,'Sec 42 Rent Limits'!$B$12:$B$31,0))</f>
        <v>1373</v>
      </c>
      <c r="F25" s="218">
        <f t="shared" si="8"/>
        <v>-75</v>
      </c>
      <c r="G25" s="219">
        <f t="shared" si="1"/>
        <v>1298</v>
      </c>
      <c r="H25" s="215">
        <f t="shared" si="2"/>
        <v>31152</v>
      </c>
      <c r="I25" s="13"/>
      <c r="J25" s="13"/>
      <c r="K25" s="13"/>
      <c r="L25" s="13"/>
      <c r="M25" s="13"/>
      <c r="N25" s="13"/>
      <c r="O25" s="13"/>
      <c r="P25" s="13"/>
      <c r="Q25" s="13"/>
      <c r="R25" s="13"/>
      <c r="S25" s="13"/>
      <c r="T25" s="13"/>
      <c r="U25" s="13"/>
      <c r="V25" s="13"/>
      <c r="W25" s="13"/>
      <c r="X25" s="13"/>
      <c r="Y25" s="13"/>
      <c r="Z25" s="13"/>
    </row>
    <row r="26" ht="15.75" customHeight="1">
      <c r="A26" s="13">
        <v>14.0</v>
      </c>
      <c r="B26" s="216" t="s">
        <v>585</v>
      </c>
      <c r="C26" s="217">
        <v>2.0</v>
      </c>
      <c r="D26" s="217">
        <f t="shared" si="7"/>
        <v>960</v>
      </c>
      <c r="E26" s="213">
        <f t="array" ref="E26">INDEX('Sec 42 Rent Limits'!$C$12:$C$31,MATCH('Income &amp; Expenses (P3)'!$B26,'Sec 42 Rent Limits'!$B$12:$B$31,0))</f>
        <v>1648</v>
      </c>
      <c r="F26" s="218">
        <f t="shared" si="8"/>
        <v>-75</v>
      </c>
      <c r="G26" s="219">
        <f t="shared" si="1"/>
        <v>1573</v>
      </c>
      <c r="H26" s="215">
        <f t="shared" si="2"/>
        <v>37752</v>
      </c>
      <c r="I26" s="13"/>
      <c r="J26" s="13"/>
      <c r="K26" s="13"/>
      <c r="L26" s="13"/>
      <c r="M26" s="13"/>
      <c r="N26" s="13"/>
      <c r="O26" s="13"/>
      <c r="P26" s="13"/>
      <c r="Q26" s="13"/>
      <c r="R26" s="13"/>
      <c r="S26" s="13"/>
      <c r="T26" s="13"/>
      <c r="U26" s="13"/>
      <c r="V26" s="13"/>
      <c r="W26" s="13"/>
      <c r="X26" s="13"/>
      <c r="Y26" s="13"/>
      <c r="Z26" s="13"/>
    </row>
    <row r="27" ht="15.75" customHeight="1">
      <c r="A27" s="13">
        <v>15.0</v>
      </c>
      <c r="B27" s="216" t="s">
        <v>586</v>
      </c>
      <c r="C27" s="217">
        <v>3.0</v>
      </c>
      <c r="D27" s="217">
        <f t="shared" si="7"/>
        <v>960</v>
      </c>
      <c r="E27" s="213">
        <f t="array" ref="E27">INDEX('Sec 42 Rent Limits'!$C$12:$C$31,MATCH('Income &amp; Expenses (P3)'!$B27,'Sec 42 Rent Limits'!$B$12:$B$31,0))</f>
        <v>2198</v>
      </c>
      <c r="F27" s="218">
        <f t="shared" si="8"/>
        <v>-75</v>
      </c>
      <c r="G27" s="219">
        <f t="shared" si="1"/>
        <v>2123</v>
      </c>
      <c r="H27" s="215">
        <f t="shared" si="2"/>
        <v>76428</v>
      </c>
      <c r="I27" s="13"/>
      <c r="J27" s="13"/>
      <c r="K27" s="13"/>
      <c r="L27" s="13"/>
      <c r="M27" s="13"/>
      <c r="N27" s="13"/>
      <c r="O27" s="13"/>
      <c r="P27" s="13"/>
      <c r="Q27" s="13"/>
      <c r="R27" s="13"/>
      <c r="S27" s="13"/>
      <c r="T27" s="13"/>
      <c r="U27" s="13"/>
      <c r="V27" s="13"/>
      <c r="W27" s="13"/>
      <c r="X27" s="13"/>
      <c r="Y27" s="13"/>
      <c r="Z27" s="13"/>
    </row>
    <row r="28" ht="15.75" hidden="1" customHeight="1">
      <c r="A28" s="13">
        <v>16.0</v>
      </c>
      <c r="B28" s="216" t="s">
        <v>208</v>
      </c>
      <c r="C28" s="217">
        <v>0.0</v>
      </c>
      <c r="D28" s="217"/>
      <c r="E28" s="218">
        <v>0.0</v>
      </c>
      <c r="F28" s="218">
        <v>0.0</v>
      </c>
      <c r="G28" s="219">
        <f t="shared" si="1"/>
        <v>0</v>
      </c>
      <c r="H28" s="215">
        <f t="shared" si="2"/>
        <v>0</v>
      </c>
      <c r="I28" s="13"/>
      <c r="J28" s="13"/>
      <c r="K28" s="13"/>
      <c r="L28" s="13"/>
      <c r="M28" s="13"/>
      <c r="N28" s="13"/>
      <c r="O28" s="13"/>
      <c r="P28" s="13"/>
      <c r="Q28" s="13"/>
      <c r="R28" s="13"/>
      <c r="S28" s="13"/>
      <c r="T28" s="13"/>
      <c r="U28" s="13"/>
      <c r="V28" s="13"/>
      <c r="W28" s="13"/>
      <c r="X28" s="13"/>
      <c r="Y28" s="13"/>
      <c r="Z28" s="13"/>
    </row>
    <row r="29" ht="15.75" hidden="1" customHeight="1">
      <c r="A29" s="13">
        <v>17.0</v>
      </c>
      <c r="B29" s="216" t="s">
        <v>209</v>
      </c>
      <c r="C29" s="217">
        <v>0.0</v>
      </c>
      <c r="D29" s="217"/>
      <c r="E29" s="217">
        <v>0.0</v>
      </c>
      <c r="F29" s="217">
        <v>0.0</v>
      </c>
      <c r="G29" s="162">
        <f t="shared" si="1"/>
        <v>0</v>
      </c>
      <c r="H29" s="223">
        <f t="shared" si="2"/>
        <v>0</v>
      </c>
      <c r="I29" s="13"/>
      <c r="J29" s="13"/>
      <c r="K29" s="13"/>
      <c r="L29" s="13"/>
      <c r="M29" s="13"/>
      <c r="N29" s="13"/>
      <c r="O29" s="13"/>
      <c r="P29" s="13"/>
      <c r="Q29" s="13"/>
      <c r="R29" s="13"/>
      <c r="S29" s="13"/>
      <c r="T29" s="13"/>
      <c r="U29" s="13"/>
      <c r="V29" s="13"/>
      <c r="W29" s="13"/>
      <c r="X29" s="13"/>
      <c r="Y29" s="13"/>
      <c r="Z29" s="13"/>
    </row>
    <row r="30" ht="15.75" hidden="1" customHeight="1">
      <c r="A30" s="13">
        <v>18.0</v>
      </c>
      <c r="B30" s="216" t="s">
        <v>210</v>
      </c>
      <c r="C30" s="217">
        <v>0.0</v>
      </c>
      <c r="D30" s="217"/>
      <c r="E30" s="217">
        <v>0.0</v>
      </c>
      <c r="F30" s="217">
        <v>0.0</v>
      </c>
      <c r="G30" s="162">
        <f t="shared" si="1"/>
        <v>0</v>
      </c>
      <c r="H30" s="223">
        <f t="shared" si="2"/>
        <v>0</v>
      </c>
      <c r="I30" s="13"/>
      <c r="J30" s="13"/>
      <c r="K30" s="13"/>
      <c r="L30" s="13"/>
      <c r="M30" s="13"/>
      <c r="N30" s="13"/>
      <c r="O30" s="13"/>
      <c r="P30" s="13"/>
      <c r="Q30" s="13"/>
      <c r="R30" s="13"/>
      <c r="S30" s="13"/>
      <c r="T30" s="13"/>
      <c r="U30" s="13"/>
      <c r="V30" s="13"/>
      <c r="W30" s="13"/>
      <c r="X30" s="13"/>
      <c r="Y30" s="13"/>
      <c r="Z30" s="13"/>
    </row>
    <row r="31" ht="15.75" hidden="1" customHeight="1">
      <c r="A31" s="13">
        <v>19.0</v>
      </c>
      <c r="B31" s="216" t="s">
        <v>211</v>
      </c>
      <c r="C31" s="217">
        <v>0.0</v>
      </c>
      <c r="D31" s="217"/>
      <c r="E31" s="217">
        <v>0.0</v>
      </c>
      <c r="F31" s="217">
        <v>0.0</v>
      </c>
      <c r="G31" s="162">
        <f t="shared" si="1"/>
        <v>0</v>
      </c>
      <c r="H31" s="223">
        <f t="shared" si="2"/>
        <v>0</v>
      </c>
      <c r="I31" s="13"/>
      <c r="J31" s="13"/>
      <c r="K31" s="13"/>
      <c r="L31" s="13"/>
      <c r="M31" s="13"/>
      <c r="N31" s="13"/>
      <c r="O31" s="13"/>
      <c r="P31" s="13"/>
      <c r="Q31" s="13"/>
      <c r="R31" s="13"/>
      <c r="S31" s="13"/>
      <c r="T31" s="13"/>
      <c r="U31" s="13"/>
      <c r="V31" s="13"/>
      <c r="W31" s="13"/>
      <c r="X31" s="13"/>
      <c r="Y31" s="13"/>
      <c r="Z31" s="13"/>
    </row>
    <row r="32" ht="15.75" hidden="1" customHeight="1">
      <c r="A32" s="13">
        <v>20.0</v>
      </c>
      <c r="B32" s="216" t="s">
        <v>212</v>
      </c>
      <c r="C32" s="217">
        <v>0.0</v>
      </c>
      <c r="D32" s="217"/>
      <c r="E32" s="217">
        <v>0.0</v>
      </c>
      <c r="F32" s="217">
        <v>0.0</v>
      </c>
      <c r="G32" s="162">
        <f t="shared" si="1"/>
        <v>0</v>
      </c>
      <c r="H32" s="223">
        <f t="shared" si="2"/>
        <v>0</v>
      </c>
      <c r="I32" s="13"/>
      <c r="J32" s="13"/>
      <c r="K32" s="13"/>
      <c r="L32" s="13"/>
      <c r="M32" s="13"/>
      <c r="N32" s="13"/>
      <c r="O32" s="13"/>
      <c r="P32" s="13"/>
      <c r="Q32" s="13"/>
      <c r="R32" s="13"/>
      <c r="S32" s="13"/>
      <c r="T32" s="13"/>
      <c r="U32" s="13"/>
      <c r="V32" s="13"/>
      <c r="W32" s="13"/>
      <c r="X32" s="13"/>
      <c r="Y32" s="13"/>
      <c r="Z32" s="13"/>
    </row>
    <row r="33" ht="15.75" hidden="1" customHeight="1">
      <c r="A33" s="13">
        <v>21.0</v>
      </c>
      <c r="B33" s="216" t="s">
        <v>213</v>
      </c>
      <c r="C33" s="217">
        <v>0.0</v>
      </c>
      <c r="D33" s="217"/>
      <c r="E33" s="217">
        <v>0.0</v>
      </c>
      <c r="F33" s="217">
        <v>0.0</v>
      </c>
      <c r="G33" s="162">
        <f t="shared" si="1"/>
        <v>0</v>
      </c>
      <c r="H33" s="223">
        <f t="shared" si="2"/>
        <v>0</v>
      </c>
      <c r="I33" s="13"/>
      <c r="J33" s="13"/>
      <c r="K33" s="13"/>
      <c r="L33" s="13"/>
      <c r="M33" s="13"/>
      <c r="N33" s="13"/>
      <c r="O33" s="13"/>
      <c r="P33" s="13"/>
      <c r="Q33" s="13"/>
      <c r="R33" s="13"/>
      <c r="S33" s="13"/>
      <c r="T33" s="13"/>
      <c r="U33" s="13"/>
      <c r="V33" s="13"/>
      <c r="W33" s="13"/>
      <c r="X33" s="13"/>
      <c r="Y33" s="13"/>
      <c r="Z33" s="13"/>
    </row>
    <row r="34" ht="15.75" hidden="1" customHeight="1">
      <c r="A34" s="13">
        <v>22.0</v>
      </c>
      <c r="B34" s="216" t="s">
        <v>214</v>
      </c>
      <c r="C34" s="217">
        <v>0.0</v>
      </c>
      <c r="D34" s="217"/>
      <c r="E34" s="217">
        <v>0.0</v>
      </c>
      <c r="F34" s="217">
        <v>0.0</v>
      </c>
      <c r="G34" s="162">
        <f t="shared" si="1"/>
        <v>0</v>
      </c>
      <c r="H34" s="223">
        <f t="shared" si="2"/>
        <v>0</v>
      </c>
      <c r="I34" s="13"/>
      <c r="J34" s="13"/>
      <c r="K34" s="13"/>
      <c r="L34" s="13"/>
      <c r="M34" s="13"/>
      <c r="N34" s="13"/>
      <c r="O34" s="13"/>
      <c r="P34" s="13"/>
      <c r="Q34" s="13"/>
      <c r="R34" s="13"/>
      <c r="S34" s="13"/>
      <c r="T34" s="13"/>
      <c r="U34" s="13"/>
      <c r="V34" s="13"/>
      <c r="W34" s="13"/>
      <c r="X34" s="13"/>
      <c r="Y34" s="13"/>
      <c r="Z34" s="13"/>
    </row>
    <row r="35" ht="15.75" hidden="1" customHeight="1">
      <c r="A35" s="13">
        <v>23.0</v>
      </c>
      <c r="B35" s="216" t="s">
        <v>215</v>
      </c>
      <c r="C35" s="217">
        <v>0.0</v>
      </c>
      <c r="D35" s="217"/>
      <c r="E35" s="217">
        <v>0.0</v>
      </c>
      <c r="F35" s="217">
        <v>0.0</v>
      </c>
      <c r="G35" s="162">
        <f t="shared" si="1"/>
        <v>0</v>
      </c>
      <c r="H35" s="223">
        <f t="shared" si="2"/>
        <v>0</v>
      </c>
      <c r="I35" s="13"/>
      <c r="J35" s="13"/>
      <c r="K35" s="13"/>
      <c r="L35" s="13"/>
      <c r="M35" s="13"/>
      <c r="N35" s="13"/>
      <c r="O35" s="13"/>
      <c r="P35" s="13"/>
      <c r="Q35" s="13"/>
      <c r="R35" s="13"/>
      <c r="S35" s="13"/>
      <c r="T35" s="13"/>
      <c r="U35" s="13"/>
      <c r="V35" s="13"/>
      <c r="W35" s="13"/>
      <c r="X35" s="13"/>
      <c r="Y35" s="13"/>
      <c r="Z35" s="13"/>
    </row>
    <row r="36" ht="15.75" hidden="1" customHeight="1">
      <c r="A36" s="13">
        <v>24.0</v>
      </c>
      <c r="B36" s="216" t="s">
        <v>216</v>
      </c>
      <c r="C36" s="217">
        <v>0.0</v>
      </c>
      <c r="D36" s="217"/>
      <c r="E36" s="217">
        <v>0.0</v>
      </c>
      <c r="F36" s="217">
        <v>0.0</v>
      </c>
      <c r="G36" s="162">
        <f t="shared" si="1"/>
        <v>0</v>
      </c>
      <c r="H36" s="223">
        <f t="shared" si="2"/>
        <v>0</v>
      </c>
      <c r="I36" s="13"/>
      <c r="J36" s="13"/>
      <c r="K36" s="13"/>
      <c r="L36" s="13"/>
      <c r="M36" s="13"/>
      <c r="N36" s="13"/>
      <c r="O36" s="13"/>
      <c r="P36" s="13"/>
      <c r="Q36" s="13"/>
      <c r="R36" s="13"/>
      <c r="S36" s="13"/>
      <c r="T36" s="13"/>
      <c r="U36" s="13"/>
      <c r="V36" s="13"/>
      <c r="W36" s="13"/>
      <c r="X36" s="13"/>
      <c r="Y36" s="13"/>
      <c r="Z36" s="13"/>
    </row>
    <row r="37" ht="15.75" hidden="1" customHeight="1">
      <c r="A37" s="13">
        <v>25.0</v>
      </c>
      <c r="B37" s="216" t="s">
        <v>217</v>
      </c>
      <c r="C37" s="220">
        <v>0.0</v>
      </c>
      <c r="D37" s="220"/>
      <c r="E37" s="220">
        <v>0.0</v>
      </c>
      <c r="F37" s="220">
        <v>0.0</v>
      </c>
      <c r="G37" s="224">
        <f t="shared" si="1"/>
        <v>0</v>
      </c>
      <c r="H37" s="223">
        <f t="shared" si="2"/>
        <v>0</v>
      </c>
      <c r="I37" s="13"/>
      <c r="J37" s="13"/>
      <c r="K37" s="13"/>
      <c r="L37" s="13"/>
      <c r="M37" s="13"/>
      <c r="N37" s="13"/>
      <c r="O37" s="13"/>
      <c r="P37" s="13"/>
      <c r="Q37" s="13"/>
      <c r="R37" s="13"/>
      <c r="S37" s="13"/>
      <c r="T37" s="13"/>
      <c r="U37" s="13"/>
      <c r="V37" s="13"/>
      <c r="W37" s="13"/>
      <c r="X37" s="13"/>
      <c r="Y37" s="13"/>
      <c r="Z37" s="13"/>
    </row>
    <row r="38" ht="15.75" customHeight="1">
      <c r="A38" s="13"/>
      <c r="B38" s="225" t="s">
        <v>218</v>
      </c>
      <c r="C38" s="226">
        <f>SUM(C13:C37)</f>
        <v>66</v>
      </c>
      <c r="D38" s="227"/>
      <c r="E38" s="227"/>
      <c r="F38" s="227"/>
      <c r="G38" s="228" t="s">
        <v>219</v>
      </c>
      <c r="H38" s="229">
        <f>SUM(H13:H37)</f>
        <v>858684</v>
      </c>
      <c r="I38" s="13"/>
      <c r="J38" s="13"/>
      <c r="K38" s="13"/>
      <c r="L38" s="13"/>
      <c r="M38" s="13"/>
      <c r="N38" s="13"/>
      <c r="O38" s="13"/>
      <c r="P38" s="13"/>
      <c r="Q38" s="13"/>
      <c r="R38" s="13"/>
      <c r="S38" s="13"/>
      <c r="T38" s="13"/>
      <c r="U38" s="13"/>
      <c r="V38" s="13"/>
      <c r="W38" s="13"/>
      <c r="X38" s="13"/>
      <c r="Y38" s="13"/>
      <c r="Z38" s="13"/>
    </row>
    <row r="39" ht="15.75" customHeight="1">
      <c r="A39" s="13"/>
      <c r="B39" s="448" t="s">
        <v>592</v>
      </c>
      <c r="C39" s="449">
        <f>SUM(C13:C15,C18:C20,C23:C25)/unit_three</f>
        <v>0.7121212121</v>
      </c>
      <c r="D39" s="13"/>
      <c r="E39" s="13"/>
      <c r="F39" s="13"/>
      <c r="G39" s="13"/>
      <c r="H39" s="13"/>
      <c r="I39" s="13"/>
      <c r="J39" s="13"/>
      <c r="K39" s="13"/>
      <c r="L39" s="13"/>
      <c r="M39" s="13"/>
      <c r="N39" s="13"/>
      <c r="O39" s="13"/>
      <c r="P39" s="13"/>
      <c r="Q39" s="13"/>
      <c r="R39" s="13"/>
      <c r="S39" s="13"/>
      <c r="T39" s="13"/>
      <c r="U39" s="13"/>
      <c r="V39" s="13"/>
      <c r="W39" s="13"/>
      <c r="X39" s="13"/>
      <c r="Y39" s="13"/>
      <c r="Z39" s="13"/>
    </row>
    <row r="40" ht="15.75" customHeight="1">
      <c r="A40" s="13"/>
      <c r="B40" s="231" t="s">
        <v>221</v>
      </c>
      <c r="C40" s="13"/>
      <c r="D40" s="13"/>
      <c r="E40" s="13"/>
      <c r="F40" s="13"/>
      <c r="G40" s="13"/>
      <c r="H40" s="13"/>
      <c r="I40" s="13"/>
      <c r="J40" s="13"/>
      <c r="K40" s="13"/>
      <c r="L40" s="13"/>
      <c r="M40" s="13"/>
      <c r="N40" s="13"/>
      <c r="O40" s="13"/>
      <c r="P40" s="13"/>
      <c r="Q40" s="13"/>
      <c r="R40" s="13"/>
      <c r="S40" s="13"/>
      <c r="T40" s="13"/>
      <c r="U40" s="13"/>
      <c r="V40" s="13"/>
      <c r="W40" s="13"/>
      <c r="X40" s="13"/>
      <c r="Y40" s="13"/>
      <c r="Z40" s="13"/>
    </row>
    <row r="41" ht="15.75" customHeight="1">
      <c r="A41" s="13"/>
      <c r="B41" s="230"/>
      <c r="C41" s="13"/>
      <c r="D41" s="13"/>
      <c r="E41" s="13"/>
      <c r="F41" s="13"/>
      <c r="G41" s="13"/>
      <c r="H41" s="13"/>
      <c r="I41" s="13"/>
      <c r="J41" s="13"/>
      <c r="K41" s="13"/>
      <c r="L41" s="13"/>
      <c r="M41" s="13"/>
      <c r="N41" s="13"/>
      <c r="O41" s="13"/>
      <c r="P41" s="13"/>
      <c r="Q41" s="13"/>
      <c r="R41" s="13"/>
      <c r="S41" s="13"/>
      <c r="T41" s="13"/>
      <c r="U41" s="13"/>
      <c r="V41" s="13"/>
      <c r="W41" s="13"/>
      <c r="X41" s="13"/>
      <c r="Y41" s="13"/>
      <c r="Z41" s="13"/>
    </row>
    <row r="42" ht="15.75" customHeight="1">
      <c r="A42" s="13"/>
      <c r="B42" s="208" t="s">
        <v>222</v>
      </c>
      <c r="C42" s="209" t="s">
        <v>223</v>
      </c>
      <c r="D42" s="209" t="s">
        <v>224</v>
      </c>
      <c r="E42" s="209" t="s">
        <v>225</v>
      </c>
      <c r="F42" s="209" t="s">
        <v>226</v>
      </c>
      <c r="G42" s="13"/>
      <c r="H42" s="13"/>
      <c r="I42" s="13"/>
      <c r="J42" s="13"/>
      <c r="K42" s="13"/>
      <c r="L42" s="13"/>
      <c r="M42" s="13"/>
      <c r="N42" s="13"/>
      <c r="O42" s="13"/>
      <c r="P42" s="13"/>
      <c r="Q42" s="13"/>
      <c r="R42" s="13"/>
      <c r="S42" s="13"/>
      <c r="T42" s="13"/>
      <c r="U42" s="13"/>
      <c r="V42" s="13"/>
      <c r="W42" s="13"/>
      <c r="X42" s="13"/>
      <c r="Y42" s="13"/>
      <c r="Z42" s="13"/>
    </row>
    <row r="43" ht="15.75" customHeight="1">
      <c r="A43" s="13">
        <v>1.0</v>
      </c>
      <c r="B43" s="76" t="s">
        <v>227</v>
      </c>
      <c r="C43" s="212">
        <f>unit_three</f>
        <v>66</v>
      </c>
      <c r="D43" s="154">
        <f>'Assumptions (P3)'!D46</f>
        <v>5</v>
      </c>
      <c r="E43" s="232">
        <f t="shared" ref="E43:E47" si="9">C43*D43</f>
        <v>330</v>
      </c>
      <c r="F43" s="232">
        <f t="shared" ref="F43:F47" si="10">E43*12</f>
        <v>3960</v>
      </c>
      <c r="G43" s="13"/>
      <c r="H43" s="13"/>
      <c r="I43" s="13"/>
      <c r="J43" s="13"/>
      <c r="K43" s="13"/>
      <c r="L43" s="13"/>
      <c r="M43" s="13"/>
      <c r="N43" s="13"/>
      <c r="O43" s="13"/>
      <c r="P43" s="13"/>
      <c r="Q43" s="13"/>
      <c r="R43" s="13"/>
      <c r="S43" s="13"/>
      <c r="T43" s="13"/>
      <c r="U43" s="13"/>
      <c r="V43" s="13"/>
      <c r="W43" s="13"/>
      <c r="X43" s="13"/>
      <c r="Y43" s="13"/>
      <c r="Z43" s="13"/>
    </row>
    <row r="44" ht="15.75" customHeight="1">
      <c r="A44" s="13">
        <v>2.0</v>
      </c>
      <c r="B44" s="233" t="s">
        <v>593</v>
      </c>
      <c r="C44" s="217"/>
      <c r="D44" s="113">
        <v>0.0</v>
      </c>
      <c r="E44" s="136">
        <f t="shared" si="9"/>
        <v>0</v>
      </c>
      <c r="F44" s="136">
        <f t="shared" si="10"/>
        <v>0</v>
      </c>
      <c r="G44" s="13"/>
      <c r="H44" s="13"/>
      <c r="I44" s="13"/>
      <c r="J44" s="13"/>
      <c r="K44" s="13"/>
      <c r="L44" s="13"/>
      <c r="M44" s="13"/>
      <c r="N44" s="13"/>
      <c r="O44" s="13"/>
      <c r="P44" s="13"/>
      <c r="Q44" s="13"/>
      <c r="R44" s="13"/>
      <c r="S44" s="13"/>
      <c r="T44" s="13"/>
      <c r="U44" s="13"/>
      <c r="V44" s="13"/>
      <c r="W44" s="13"/>
      <c r="X44" s="13"/>
      <c r="Y44" s="13"/>
      <c r="Z44" s="13"/>
    </row>
    <row r="45" ht="15.75" customHeight="1">
      <c r="A45" s="13">
        <v>3.0</v>
      </c>
      <c r="B45" s="234" t="s">
        <v>228</v>
      </c>
      <c r="C45" s="217"/>
      <c r="D45" s="113"/>
      <c r="E45" s="136">
        <f t="shared" si="9"/>
        <v>0</v>
      </c>
      <c r="F45" s="136">
        <f t="shared" si="10"/>
        <v>0</v>
      </c>
      <c r="G45" s="13"/>
      <c r="H45" s="13"/>
      <c r="I45" s="13"/>
      <c r="J45" s="13"/>
      <c r="K45" s="13"/>
      <c r="L45" s="13"/>
      <c r="M45" s="13"/>
      <c r="N45" s="13"/>
      <c r="O45" s="13"/>
      <c r="P45" s="13"/>
      <c r="Q45" s="13"/>
      <c r="R45" s="13"/>
      <c r="S45" s="13"/>
      <c r="T45" s="13"/>
      <c r="U45" s="13"/>
      <c r="V45" s="13"/>
      <c r="W45" s="13"/>
      <c r="X45" s="13"/>
      <c r="Y45" s="13"/>
      <c r="Z45" s="13"/>
    </row>
    <row r="46" ht="15.75" customHeight="1">
      <c r="A46" s="13">
        <v>4.0</v>
      </c>
      <c r="B46" s="233" t="s">
        <v>229</v>
      </c>
      <c r="C46" s="217"/>
      <c r="D46" s="113"/>
      <c r="E46" s="136">
        <f t="shared" si="9"/>
        <v>0</v>
      </c>
      <c r="F46" s="136">
        <f t="shared" si="10"/>
        <v>0</v>
      </c>
      <c r="G46" s="13"/>
      <c r="H46" s="13"/>
      <c r="I46" s="13"/>
      <c r="J46" s="13"/>
      <c r="K46" s="13"/>
      <c r="L46" s="13"/>
      <c r="M46" s="13"/>
      <c r="N46" s="13"/>
      <c r="O46" s="13"/>
      <c r="P46" s="13"/>
      <c r="Q46" s="13"/>
      <c r="R46" s="13"/>
      <c r="S46" s="13"/>
      <c r="T46" s="13"/>
      <c r="U46" s="13"/>
      <c r="V46" s="13"/>
      <c r="W46" s="13"/>
      <c r="X46" s="13"/>
      <c r="Y46" s="13"/>
      <c r="Z46" s="13"/>
    </row>
    <row r="47" ht="15.75" customHeight="1">
      <c r="A47" s="13">
        <v>5.0</v>
      </c>
      <c r="B47" s="235" t="s">
        <v>230</v>
      </c>
      <c r="C47" s="236"/>
      <c r="D47" s="237"/>
      <c r="E47" s="238">
        <f t="shared" si="9"/>
        <v>0</v>
      </c>
      <c r="F47" s="238">
        <f t="shared" si="10"/>
        <v>0</v>
      </c>
      <c r="G47" s="13"/>
      <c r="H47" s="13"/>
      <c r="I47" s="13"/>
      <c r="J47" s="13"/>
      <c r="K47" s="13"/>
      <c r="L47" s="13"/>
      <c r="M47" s="13"/>
      <c r="N47" s="13"/>
      <c r="O47" s="13"/>
      <c r="P47" s="13"/>
      <c r="Q47" s="13"/>
      <c r="R47" s="13"/>
      <c r="S47" s="13"/>
      <c r="T47" s="13"/>
      <c r="U47" s="13"/>
      <c r="V47" s="13"/>
      <c r="W47" s="13"/>
      <c r="X47" s="13"/>
      <c r="Y47" s="13"/>
      <c r="Z47" s="13"/>
    </row>
    <row r="48" ht="15.75" customHeight="1">
      <c r="A48" s="13"/>
      <c r="B48" s="230"/>
      <c r="C48" s="13"/>
      <c r="D48" s="13"/>
      <c r="E48" s="90" t="s">
        <v>231</v>
      </c>
      <c r="F48" s="75">
        <f>SUM(F43:F47)</f>
        <v>3960</v>
      </c>
      <c r="G48" s="13"/>
      <c r="H48" s="13"/>
      <c r="I48" s="13"/>
      <c r="J48" s="13"/>
      <c r="K48" s="13"/>
      <c r="L48" s="13"/>
      <c r="M48" s="13"/>
      <c r="N48" s="13"/>
      <c r="O48" s="13"/>
      <c r="P48" s="13"/>
      <c r="Q48" s="13"/>
      <c r="R48" s="13"/>
      <c r="S48" s="13"/>
      <c r="T48" s="13"/>
      <c r="U48" s="13"/>
      <c r="V48" s="13"/>
      <c r="W48" s="13"/>
      <c r="X48" s="13"/>
      <c r="Y48" s="13"/>
      <c r="Z48" s="13"/>
    </row>
    <row r="49" ht="15.75" customHeight="1">
      <c r="A49" s="13"/>
      <c r="B49" s="231" t="s">
        <v>232</v>
      </c>
      <c r="C49" s="13"/>
      <c r="D49" s="13"/>
      <c r="E49" s="90"/>
      <c r="F49" s="57"/>
      <c r="G49" s="13"/>
      <c r="H49" s="13"/>
      <c r="I49" s="13"/>
      <c r="J49" s="13"/>
      <c r="K49" s="13"/>
      <c r="L49" s="13"/>
      <c r="M49" s="13"/>
      <c r="N49" s="13"/>
      <c r="O49" s="13"/>
      <c r="P49" s="13"/>
      <c r="Q49" s="13"/>
      <c r="R49" s="13"/>
      <c r="S49" s="13"/>
      <c r="T49" s="13"/>
      <c r="U49" s="13"/>
      <c r="V49" s="13"/>
      <c r="W49" s="13"/>
      <c r="X49" s="13"/>
      <c r="Y49" s="13"/>
      <c r="Z49" s="13"/>
    </row>
    <row r="50" ht="15.75" customHeight="1">
      <c r="A50" s="13"/>
      <c r="B50" s="231"/>
      <c r="C50" s="13"/>
      <c r="D50" s="13"/>
      <c r="E50" s="90"/>
      <c r="F50" s="57"/>
      <c r="G50" s="13"/>
      <c r="H50" s="13"/>
      <c r="I50" s="13"/>
      <c r="J50" s="13"/>
      <c r="K50" s="13"/>
      <c r="L50" s="13"/>
      <c r="M50" s="13"/>
      <c r="N50" s="13"/>
      <c r="O50" s="13"/>
      <c r="P50" s="13"/>
      <c r="Q50" s="13"/>
      <c r="R50" s="13"/>
      <c r="S50" s="13"/>
      <c r="T50" s="13"/>
      <c r="U50" s="13"/>
      <c r="V50" s="13"/>
      <c r="W50" s="13"/>
      <c r="X50" s="13"/>
      <c r="Y50" s="13"/>
      <c r="Z50" s="13"/>
    </row>
    <row r="51" ht="15.75" customHeight="1">
      <c r="A51" s="13"/>
      <c r="B51" s="208" t="s">
        <v>233</v>
      </c>
      <c r="C51" s="208" t="s">
        <v>234</v>
      </c>
      <c r="D51" s="208" t="s">
        <v>235</v>
      </c>
      <c r="E51" s="208" t="s">
        <v>236</v>
      </c>
      <c r="F51" s="239" t="s">
        <v>189</v>
      </c>
      <c r="G51" s="239" t="s">
        <v>192</v>
      </c>
      <c r="H51" s="208" t="s">
        <v>237</v>
      </c>
      <c r="I51" s="208" t="s">
        <v>238</v>
      </c>
      <c r="J51" s="208" t="s">
        <v>239</v>
      </c>
      <c r="K51" s="239" t="s">
        <v>226</v>
      </c>
      <c r="L51" s="13"/>
      <c r="M51" s="13"/>
      <c r="N51" s="13"/>
      <c r="O51" s="13"/>
      <c r="P51" s="13"/>
      <c r="Q51" s="13"/>
      <c r="R51" s="13"/>
      <c r="S51" s="13"/>
      <c r="T51" s="13"/>
      <c r="U51" s="13"/>
      <c r="V51" s="13"/>
      <c r="W51" s="13"/>
      <c r="X51" s="13"/>
      <c r="Y51" s="13"/>
      <c r="Z51" s="13"/>
    </row>
    <row r="52" ht="15.75" customHeight="1">
      <c r="A52" s="13">
        <v>1.0</v>
      </c>
      <c r="B52" s="76" t="s">
        <v>240</v>
      </c>
      <c r="C52" s="76"/>
      <c r="D52" s="240"/>
      <c r="E52" s="241"/>
      <c r="F52" s="114">
        <f t="shared" ref="F52:F61" si="11">G52/12</f>
        <v>0</v>
      </c>
      <c r="G52" s="114">
        <f t="shared" ref="G52:G61" si="12">E52*D52</f>
        <v>0</v>
      </c>
      <c r="H52" s="242"/>
      <c r="I52" s="243"/>
      <c r="J52" s="244"/>
      <c r="K52" s="84">
        <f t="shared" ref="K52:K61" si="13">(H52*D52)+(I52*D52)+(J52*D52)+G52</f>
        <v>0</v>
      </c>
      <c r="L52" s="13"/>
      <c r="M52" s="13"/>
      <c r="N52" s="13"/>
      <c r="O52" s="13"/>
      <c r="P52" s="13"/>
      <c r="Q52" s="13"/>
      <c r="R52" s="13"/>
      <c r="S52" s="13"/>
      <c r="T52" s="13"/>
      <c r="U52" s="13"/>
      <c r="V52" s="13"/>
      <c r="W52" s="13"/>
      <c r="X52" s="13"/>
      <c r="Y52" s="13"/>
      <c r="Z52" s="13"/>
    </row>
    <row r="53" ht="15.75" customHeight="1">
      <c r="A53" s="13">
        <v>2.0</v>
      </c>
      <c r="B53" s="216" t="s">
        <v>241</v>
      </c>
      <c r="C53" s="216"/>
      <c r="D53" s="245"/>
      <c r="E53" s="115"/>
      <c r="F53" s="114">
        <f t="shared" si="11"/>
        <v>0</v>
      </c>
      <c r="G53" s="114">
        <f t="shared" si="12"/>
        <v>0</v>
      </c>
      <c r="H53" s="246"/>
      <c r="I53" s="247"/>
      <c r="J53" s="248"/>
      <c r="K53" s="84">
        <f t="shared" si="13"/>
        <v>0</v>
      </c>
      <c r="L53" s="13"/>
      <c r="M53" s="13"/>
      <c r="N53" s="13"/>
      <c r="O53" s="13"/>
      <c r="P53" s="13"/>
      <c r="Q53" s="13"/>
      <c r="R53" s="13"/>
      <c r="S53" s="13"/>
      <c r="T53" s="13"/>
      <c r="U53" s="13"/>
      <c r="V53" s="13"/>
      <c r="W53" s="13"/>
      <c r="X53" s="13"/>
      <c r="Y53" s="13"/>
      <c r="Z53" s="13"/>
    </row>
    <row r="54" ht="15.75" customHeight="1">
      <c r="A54" s="13">
        <v>3.0</v>
      </c>
      <c r="B54" s="216" t="s">
        <v>242</v>
      </c>
      <c r="C54" s="216"/>
      <c r="D54" s="245"/>
      <c r="E54" s="115"/>
      <c r="F54" s="114">
        <f t="shared" si="11"/>
        <v>0</v>
      </c>
      <c r="G54" s="114">
        <f t="shared" si="12"/>
        <v>0</v>
      </c>
      <c r="H54" s="246"/>
      <c r="I54" s="247"/>
      <c r="J54" s="248"/>
      <c r="K54" s="84">
        <f t="shared" si="13"/>
        <v>0</v>
      </c>
      <c r="L54" s="13"/>
      <c r="M54" s="13"/>
      <c r="N54" s="13"/>
      <c r="O54" s="13"/>
      <c r="P54" s="13"/>
      <c r="Q54" s="13"/>
      <c r="R54" s="13"/>
      <c r="S54" s="13"/>
      <c r="T54" s="13"/>
      <c r="U54" s="13"/>
      <c r="V54" s="13"/>
      <c r="W54" s="13"/>
      <c r="X54" s="13"/>
      <c r="Y54" s="13"/>
      <c r="Z54" s="13"/>
    </row>
    <row r="55" ht="15.75" customHeight="1">
      <c r="A55" s="13">
        <v>4.0</v>
      </c>
      <c r="B55" s="216" t="s">
        <v>243</v>
      </c>
      <c r="C55" s="216"/>
      <c r="D55" s="245"/>
      <c r="E55" s="115"/>
      <c r="F55" s="114">
        <f t="shared" si="11"/>
        <v>0</v>
      </c>
      <c r="G55" s="114">
        <f t="shared" si="12"/>
        <v>0</v>
      </c>
      <c r="H55" s="246"/>
      <c r="I55" s="247"/>
      <c r="J55" s="248"/>
      <c r="K55" s="84">
        <f t="shared" si="13"/>
        <v>0</v>
      </c>
      <c r="L55" s="13"/>
      <c r="M55" s="13"/>
      <c r="N55" s="13"/>
      <c r="O55" s="13"/>
      <c r="P55" s="13"/>
      <c r="Q55" s="13"/>
      <c r="R55" s="13"/>
      <c r="S55" s="13"/>
      <c r="T55" s="13"/>
      <c r="U55" s="13"/>
      <c r="V55" s="13"/>
      <c r="W55" s="13"/>
      <c r="X55" s="13"/>
      <c r="Y55" s="13"/>
      <c r="Z55" s="13"/>
    </row>
    <row r="56" ht="15.75" customHeight="1">
      <c r="A56" s="13">
        <v>5.0</v>
      </c>
      <c r="B56" s="216" t="s">
        <v>244</v>
      </c>
      <c r="C56" s="216"/>
      <c r="D56" s="245"/>
      <c r="E56" s="115"/>
      <c r="F56" s="114">
        <f t="shared" si="11"/>
        <v>0</v>
      </c>
      <c r="G56" s="114">
        <f t="shared" si="12"/>
        <v>0</v>
      </c>
      <c r="H56" s="246"/>
      <c r="I56" s="247"/>
      <c r="J56" s="248"/>
      <c r="K56" s="84">
        <f t="shared" si="13"/>
        <v>0</v>
      </c>
      <c r="L56" s="13"/>
      <c r="M56" s="13"/>
      <c r="N56" s="13"/>
      <c r="O56" s="13"/>
      <c r="P56" s="13"/>
      <c r="Q56" s="13"/>
      <c r="R56" s="13"/>
      <c r="S56" s="13"/>
      <c r="T56" s="13"/>
      <c r="U56" s="13"/>
      <c r="V56" s="13"/>
      <c r="W56" s="13"/>
      <c r="X56" s="13"/>
      <c r="Y56" s="13"/>
      <c r="Z56" s="13"/>
    </row>
    <row r="57" ht="15.75" customHeight="1">
      <c r="A57" s="13">
        <v>6.0</v>
      </c>
      <c r="B57" s="216" t="s">
        <v>245</v>
      </c>
      <c r="C57" s="216"/>
      <c r="D57" s="245"/>
      <c r="E57" s="115"/>
      <c r="F57" s="114">
        <f t="shared" si="11"/>
        <v>0</v>
      </c>
      <c r="G57" s="114">
        <f t="shared" si="12"/>
        <v>0</v>
      </c>
      <c r="H57" s="246"/>
      <c r="I57" s="247"/>
      <c r="J57" s="248"/>
      <c r="K57" s="84">
        <f t="shared" si="13"/>
        <v>0</v>
      </c>
      <c r="L57" s="13"/>
      <c r="M57" s="13"/>
      <c r="N57" s="13"/>
      <c r="O57" s="13"/>
      <c r="P57" s="13"/>
      <c r="Q57" s="13"/>
      <c r="R57" s="13"/>
      <c r="S57" s="13"/>
      <c r="T57" s="13"/>
      <c r="U57" s="13"/>
      <c r="V57" s="13"/>
      <c r="W57" s="13"/>
      <c r="X57" s="13"/>
      <c r="Y57" s="13"/>
      <c r="Z57" s="13"/>
    </row>
    <row r="58" ht="15.75" customHeight="1">
      <c r="A58" s="13">
        <v>7.0</v>
      </c>
      <c r="B58" s="216" t="s">
        <v>246</v>
      </c>
      <c r="C58" s="216"/>
      <c r="D58" s="245"/>
      <c r="E58" s="115"/>
      <c r="F58" s="114">
        <f t="shared" si="11"/>
        <v>0</v>
      </c>
      <c r="G58" s="114">
        <f t="shared" si="12"/>
        <v>0</v>
      </c>
      <c r="H58" s="246"/>
      <c r="I58" s="247"/>
      <c r="J58" s="248"/>
      <c r="K58" s="84">
        <f t="shared" si="13"/>
        <v>0</v>
      </c>
      <c r="L58" s="13"/>
      <c r="M58" s="13"/>
      <c r="N58" s="13"/>
      <c r="O58" s="13"/>
      <c r="P58" s="13"/>
      <c r="Q58" s="13"/>
      <c r="R58" s="13"/>
      <c r="S58" s="13"/>
      <c r="T58" s="13"/>
      <c r="U58" s="13"/>
      <c r="V58" s="13"/>
      <c r="W58" s="13"/>
      <c r="X58" s="13"/>
      <c r="Y58" s="13"/>
      <c r="Z58" s="13"/>
    </row>
    <row r="59" ht="15.75" customHeight="1">
      <c r="A59" s="13">
        <v>8.0</v>
      </c>
      <c r="B59" s="216" t="s">
        <v>247</v>
      </c>
      <c r="C59" s="216"/>
      <c r="D59" s="245"/>
      <c r="E59" s="115"/>
      <c r="F59" s="114">
        <f t="shared" si="11"/>
        <v>0</v>
      </c>
      <c r="G59" s="114">
        <f t="shared" si="12"/>
        <v>0</v>
      </c>
      <c r="H59" s="246"/>
      <c r="I59" s="247"/>
      <c r="J59" s="248"/>
      <c r="K59" s="84">
        <f t="shared" si="13"/>
        <v>0</v>
      </c>
      <c r="L59" s="13"/>
      <c r="M59" s="13"/>
      <c r="N59" s="13"/>
      <c r="O59" s="13"/>
      <c r="P59" s="13"/>
      <c r="Q59" s="13"/>
      <c r="R59" s="13"/>
      <c r="S59" s="13"/>
      <c r="T59" s="13"/>
      <c r="U59" s="13"/>
      <c r="V59" s="13"/>
      <c r="W59" s="13"/>
      <c r="X59" s="13"/>
      <c r="Y59" s="13"/>
      <c r="Z59" s="13"/>
    </row>
    <row r="60" ht="15.75" customHeight="1">
      <c r="A60" s="13">
        <v>9.0</v>
      </c>
      <c r="B60" s="216" t="s">
        <v>248</v>
      </c>
      <c r="C60" s="216"/>
      <c r="D60" s="245"/>
      <c r="E60" s="115"/>
      <c r="F60" s="114">
        <f t="shared" si="11"/>
        <v>0</v>
      </c>
      <c r="G60" s="114">
        <f t="shared" si="12"/>
        <v>0</v>
      </c>
      <c r="H60" s="246"/>
      <c r="I60" s="247"/>
      <c r="J60" s="248"/>
      <c r="K60" s="84">
        <f t="shared" si="13"/>
        <v>0</v>
      </c>
      <c r="L60" s="13"/>
      <c r="M60" s="13"/>
      <c r="N60" s="13"/>
      <c r="O60" s="13"/>
      <c r="P60" s="13"/>
      <c r="Q60" s="13"/>
      <c r="R60" s="13"/>
      <c r="S60" s="13"/>
      <c r="T60" s="13"/>
      <c r="U60" s="13"/>
      <c r="V60" s="13"/>
      <c r="W60" s="13"/>
      <c r="X60" s="13"/>
      <c r="Y60" s="13"/>
      <c r="Z60" s="13"/>
    </row>
    <row r="61" ht="15.75" customHeight="1">
      <c r="A61" s="249">
        <v>10.0</v>
      </c>
      <c r="B61" s="250" t="s">
        <v>249</v>
      </c>
      <c r="C61" s="251"/>
      <c r="D61" s="252"/>
      <c r="E61" s="253"/>
      <c r="F61" s="254">
        <f t="shared" si="11"/>
        <v>0</v>
      </c>
      <c r="G61" s="254">
        <f t="shared" si="12"/>
        <v>0</v>
      </c>
      <c r="H61" s="253"/>
      <c r="I61" s="253"/>
      <c r="J61" s="255"/>
      <c r="K61" s="256">
        <f t="shared" si="13"/>
        <v>0</v>
      </c>
      <c r="L61" s="13"/>
      <c r="M61" s="13"/>
      <c r="N61" s="13"/>
      <c r="O61" s="13"/>
      <c r="P61" s="13"/>
      <c r="Q61" s="13"/>
      <c r="R61" s="13"/>
      <c r="S61" s="13"/>
      <c r="T61" s="13"/>
      <c r="U61" s="13"/>
      <c r="V61" s="13"/>
      <c r="W61" s="13"/>
      <c r="X61" s="13"/>
      <c r="Y61" s="13"/>
      <c r="Z61" s="13"/>
    </row>
    <row r="62" ht="15.75" customHeight="1">
      <c r="A62" s="13"/>
      <c r="B62" s="230"/>
      <c r="C62" s="13"/>
      <c r="D62" s="13"/>
      <c r="E62" s="90"/>
      <c r="F62" s="57"/>
      <c r="G62" s="13"/>
      <c r="H62" s="13"/>
      <c r="I62" s="13"/>
      <c r="J62" s="257" t="s">
        <v>250</v>
      </c>
      <c r="K62" s="119">
        <f>SUM(K52:K61)</f>
        <v>0</v>
      </c>
      <c r="L62" s="13"/>
      <c r="M62" s="13"/>
      <c r="N62" s="13"/>
      <c r="O62" s="13"/>
      <c r="P62" s="13"/>
      <c r="Q62" s="13"/>
      <c r="R62" s="13"/>
      <c r="S62" s="13"/>
      <c r="T62" s="13"/>
      <c r="U62" s="13"/>
      <c r="V62" s="13"/>
      <c r="W62" s="13"/>
      <c r="X62" s="13"/>
      <c r="Y62" s="13"/>
      <c r="Z62" s="13"/>
    </row>
    <row r="63" ht="15.75" customHeight="1">
      <c r="A63" s="13"/>
      <c r="B63" s="231" t="s">
        <v>251</v>
      </c>
      <c r="C63" s="13"/>
      <c r="D63" s="13"/>
      <c r="E63" s="13"/>
      <c r="F63" s="13"/>
      <c r="G63" s="13"/>
      <c r="H63" s="13"/>
      <c r="I63" s="13"/>
      <c r="J63" s="13"/>
      <c r="K63" s="13"/>
      <c r="L63" s="13"/>
      <c r="M63" s="13"/>
      <c r="N63" s="13"/>
      <c r="O63" s="13"/>
      <c r="P63" s="13"/>
      <c r="Q63" s="13"/>
      <c r="R63" s="13"/>
      <c r="S63" s="13"/>
      <c r="T63" s="13"/>
      <c r="U63" s="13"/>
      <c r="V63" s="13"/>
      <c r="W63" s="13"/>
      <c r="X63" s="13"/>
      <c r="Y63" s="13"/>
      <c r="Z63" s="13"/>
    </row>
    <row r="64" ht="15.75" customHeight="1">
      <c r="A64" s="249"/>
      <c r="B64" s="13"/>
      <c r="C64" s="182"/>
      <c r="D64" s="13"/>
      <c r="E64" s="13"/>
      <c r="F64" s="13"/>
      <c r="G64" s="13"/>
      <c r="H64" s="13"/>
      <c r="I64" s="13"/>
      <c r="J64" s="13"/>
      <c r="K64" s="13"/>
      <c r="L64" s="13"/>
      <c r="M64" s="13"/>
      <c r="N64" s="13"/>
      <c r="O64" s="13"/>
      <c r="P64" s="13"/>
      <c r="Q64" s="13"/>
      <c r="R64" s="13"/>
      <c r="S64" s="13"/>
      <c r="T64" s="13"/>
      <c r="U64" s="13"/>
      <c r="V64" s="13"/>
      <c r="W64" s="13"/>
      <c r="X64" s="13"/>
      <c r="Y64" s="13"/>
      <c r="Z64" s="13"/>
    </row>
    <row r="65" ht="15.75" customHeight="1">
      <c r="A65" s="249"/>
      <c r="B65" s="258" t="s">
        <v>219</v>
      </c>
      <c r="C65" s="259"/>
      <c r="D65" s="84">
        <f>H38</f>
        <v>858684</v>
      </c>
      <c r="E65" s="13"/>
      <c r="F65" s="13"/>
      <c r="G65" s="13"/>
      <c r="H65" s="13"/>
      <c r="I65" s="13"/>
      <c r="J65" s="13"/>
      <c r="K65" s="13"/>
      <c r="L65" s="13"/>
      <c r="M65" s="13"/>
      <c r="N65" s="13"/>
      <c r="O65" s="13"/>
      <c r="P65" s="13"/>
      <c r="Q65" s="13"/>
      <c r="R65" s="13"/>
      <c r="S65" s="13"/>
      <c r="T65" s="13"/>
      <c r="U65" s="13"/>
      <c r="V65" s="13"/>
      <c r="W65" s="13"/>
      <c r="X65" s="13"/>
      <c r="Y65" s="13"/>
      <c r="Z65" s="13"/>
    </row>
    <row r="66" ht="15.75" customHeight="1">
      <c r="A66" s="249"/>
      <c r="B66" s="260" t="s">
        <v>252</v>
      </c>
      <c r="C66" s="261">
        <f>'Assumptions (P3)'!D43</f>
        <v>0.07</v>
      </c>
      <c r="D66" s="262">
        <f>D65*-C66</f>
        <v>-60107.88</v>
      </c>
      <c r="E66" s="95" t="s">
        <v>253</v>
      </c>
      <c r="F66" s="13"/>
      <c r="G66" s="13"/>
      <c r="H66" s="13"/>
      <c r="I66" s="13"/>
      <c r="J66" s="13"/>
      <c r="K66" s="13"/>
      <c r="L66" s="13"/>
      <c r="M66" s="13"/>
      <c r="N66" s="13"/>
      <c r="O66" s="13"/>
      <c r="P66" s="13"/>
      <c r="Q66" s="13"/>
      <c r="R66" s="13"/>
      <c r="S66" s="13"/>
      <c r="T66" s="13"/>
      <c r="U66" s="13"/>
      <c r="V66" s="13"/>
      <c r="W66" s="13"/>
      <c r="X66" s="13"/>
      <c r="Y66" s="13"/>
      <c r="Z66" s="13"/>
    </row>
    <row r="67" ht="15.75" customHeight="1">
      <c r="A67" s="13"/>
      <c r="B67" s="230"/>
      <c r="C67" s="34" t="s">
        <v>254</v>
      </c>
      <c r="D67" s="263">
        <f>SUM(D65:D66)</f>
        <v>798576.12</v>
      </c>
      <c r="E67" s="13"/>
      <c r="F67" s="13"/>
      <c r="G67" s="13"/>
      <c r="H67" s="13"/>
      <c r="I67" s="13"/>
      <c r="J67" s="13"/>
      <c r="K67" s="13"/>
      <c r="L67" s="13"/>
      <c r="M67" s="13"/>
      <c r="N67" s="13"/>
      <c r="O67" s="13"/>
      <c r="P67" s="13"/>
      <c r="Q67" s="13"/>
      <c r="R67" s="13"/>
      <c r="S67" s="13"/>
      <c r="T67" s="13"/>
      <c r="U67" s="13"/>
      <c r="V67" s="13"/>
      <c r="W67" s="13"/>
      <c r="X67" s="13"/>
      <c r="Y67" s="13"/>
      <c r="Z67" s="13"/>
    </row>
    <row r="68" ht="15.75" customHeight="1">
      <c r="A68" s="13"/>
      <c r="B68" s="230"/>
      <c r="C68" s="13"/>
      <c r="D68" s="13"/>
      <c r="E68" s="13"/>
      <c r="F68" s="13"/>
      <c r="G68" s="13"/>
      <c r="H68" s="13"/>
      <c r="I68" s="13"/>
      <c r="J68" s="13"/>
      <c r="K68" s="13"/>
      <c r="L68" s="13"/>
      <c r="M68" s="13"/>
      <c r="N68" s="13"/>
      <c r="O68" s="13"/>
      <c r="P68" s="13"/>
      <c r="Q68" s="13"/>
      <c r="R68" s="13"/>
      <c r="S68" s="13"/>
      <c r="T68" s="13"/>
      <c r="U68" s="13"/>
      <c r="V68" s="13"/>
      <c r="W68" s="13"/>
      <c r="X68" s="13"/>
      <c r="Y68" s="13"/>
      <c r="Z68" s="13"/>
    </row>
    <row r="69" ht="15.75" customHeight="1">
      <c r="A69" s="13"/>
      <c r="B69" s="264" t="s">
        <v>250</v>
      </c>
      <c r="C69" s="259"/>
      <c r="D69" s="84">
        <f>K62</f>
        <v>0</v>
      </c>
      <c r="E69" s="13"/>
      <c r="F69" s="13"/>
      <c r="G69" s="13"/>
      <c r="H69" s="13"/>
      <c r="I69" s="13"/>
      <c r="J69" s="13"/>
      <c r="K69" s="13"/>
      <c r="L69" s="13"/>
      <c r="M69" s="13"/>
      <c r="N69" s="13"/>
      <c r="O69" s="13"/>
      <c r="P69" s="13"/>
      <c r="Q69" s="13"/>
      <c r="R69" s="13"/>
      <c r="S69" s="13"/>
      <c r="T69" s="13"/>
      <c r="U69" s="13"/>
      <c r="V69" s="13"/>
      <c r="W69" s="13"/>
      <c r="X69" s="13"/>
      <c r="Y69" s="13"/>
      <c r="Z69" s="13"/>
    </row>
    <row r="70" ht="15.75" customHeight="1">
      <c r="A70" s="13"/>
      <c r="B70" s="260" t="s">
        <v>255</v>
      </c>
      <c r="C70" s="261">
        <v>0.0</v>
      </c>
      <c r="D70" s="262">
        <f>D69*-C70</f>
        <v>0</v>
      </c>
      <c r="E70" s="95" t="s">
        <v>253</v>
      </c>
      <c r="F70" s="13"/>
      <c r="G70" s="13"/>
      <c r="H70" s="13"/>
      <c r="I70" s="13"/>
      <c r="J70" s="13"/>
      <c r="K70" s="13"/>
      <c r="L70" s="13"/>
      <c r="M70" s="13"/>
      <c r="N70" s="13"/>
      <c r="O70" s="13"/>
      <c r="P70" s="13"/>
      <c r="Q70" s="13"/>
      <c r="R70" s="13"/>
      <c r="S70" s="13"/>
      <c r="T70" s="13"/>
      <c r="U70" s="13"/>
      <c r="V70" s="13"/>
      <c r="W70" s="13"/>
      <c r="X70" s="13"/>
      <c r="Y70" s="13"/>
      <c r="Z70" s="13"/>
    </row>
    <row r="71" ht="15.75" customHeight="1">
      <c r="A71" s="13"/>
      <c r="B71" s="230"/>
      <c r="C71" s="34" t="s">
        <v>256</v>
      </c>
      <c r="D71" s="263">
        <f>SUM(D69:D70)</f>
        <v>0</v>
      </c>
      <c r="E71" s="13"/>
      <c r="F71" s="13"/>
      <c r="G71" s="13"/>
      <c r="H71" s="13"/>
      <c r="I71" s="13"/>
      <c r="J71" s="13"/>
      <c r="K71" s="13"/>
      <c r="L71" s="13"/>
      <c r="M71" s="13"/>
      <c r="N71" s="13"/>
      <c r="O71" s="13"/>
      <c r="P71" s="13"/>
      <c r="Q71" s="13"/>
      <c r="R71" s="13"/>
      <c r="S71" s="13"/>
      <c r="T71" s="13"/>
      <c r="U71" s="13"/>
      <c r="V71" s="13"/>
      <c r="W71" s="13"/>
      <c r="X71" s="13"/>
      <c r="Y71" s="13"/>
      <c r="Z71" s="13"/>
    </row>
    <row r="72" ht="15.75" customHeight="1">
      <c r="A72" s="13"/>
      <c r="B72" s="230"/>
      <c r="C72" s="34"/>
      <c r="D72" s="93"/>
      <c r="E72" s="13"/>
      <c r="F72" s="13"/>
      <c r="G72" s="13"/>
      <c r="H72" s="13"/>
      <c r="I72" s="13"/>
      <c r="J72" s="13"/>
      <c r="K72" s="13"/>
      <c r="L72" s="13"/>
      <c r="M72" s="13"/>
      <c r="N72" s="13"/>
      <c r="O72" s="13"/>
      <c r="P72" s="13"/>
      <c r="Q72" s="13"/>
      <c r="R72" s="13"/>
      <c r="S72" s="13"/>
      <c r="T72" s="13"/>
      <c r="U72" s="13"/>
      <c r="V72" s="13"/>
      <c r="W72" s="13"/>
      <c r="X72" s="13"/>
      <c r="Y72" s="13"/>
      <c r="Z72" s="13"/>
    </row>
    <row r="73" ht="15.75" customHeight="1">
      <c r="A73" s="13"/>
      <c r="B73" s="230"/>
      <c r="C73" s="34" t="s">
        <v>231</v>
      </c>
      <c r="D73" s="265">
        <f>F48</f>
        <v>3960</v>
      </c>
      <c r="E73" s="13"/>
      <c r="F73" s="13"/>
      <c r="G73" s="13"/>
      <c r="H73" s="13"/>
      <c r="I73" s="13"/>
      <c r="J73" s="13"/>
      <c r="K73" s="13"/>
      <c r="L73" s="13"/>
      <c r="M73" s="13"/>
      <c r="N73" s="13"/>
      <c r="O73" s="13"/>
      <c r="P73" s="13"/>
      <c r="Q73" s="13"/>
      <c r="R73" s="13"/>
      <c r="S73" s="13"/>
      <c r="T73" s="13"/>
      <c r="U73" s="13"/>
      <c r="V73" s="13"/>
      <c r="W73" s="13"/>
      <c r="X73" s="13"/>
      <c r="Y73" s="13"/>
      <c r="Z73" s="13"/>
    </row>
    <row r="74" ht="15.75" customHeight="1">
      <c r="A74" s="13"/>
      <c r="B74" s="230"/>
      <c r="C74" s="13"/>
      <c r="D74" s="13"/>
      <c r="E74" s="13"/>
      <c r="F74" s="13"/>
      <c r="G74" s="13"/>
      <c r="H74" s="13"/>
      <c r="I74" s="13"/>
      <c r="J74" s="13"/>
      <c r="K74" s="13"/>
      <c r="L74" s="13"/>
      <c r="M74" s="13"/>
      <c r="N74" s="13"/>
      <c r="O74" s="13"/>
      <c r="P74" s="13"/>
      <c r="Q74" s="13"/>
      <c r="R74" s="13"/>
      <c r="S74" s="13"/>
      <c r="T74" s="13"/>
      <c r="U74" s="13"/>
      <c r="V74" s="13"/>
      <c r="W74" s="13"/>
      <c r="X74" s="13"/>
      <c r="Y74" s="13"/>
      <c r="Z74" s="13"/>
    </row>
    <row r="75" ht="15.75" customHeight="1">
      <c r="A75" s="13"/>
      <c r="B75" s="174"/>
      <c r="C75" s="266" t="s">
        <v>257</v>
      </c>
      <c r="D75" s="267">
        <f>D67+D71+D73</f>
        <v>802536.12</v>
      </c>
      <c r="E75" s="13"/>
      <c r="F75" s="13"/>
      <c r="G75" s="13"/>
      <c r="H75" s="13"/>
      <c r="I75" s="13"/>
      <c r="J75" s="13"/>
      <c r="K75" s="13"/>
      <c r="L75" s="13"/>
      <c r="M75" s="13"/>
      <c r="N75" s="13"/>
      <c r="O75" s="13"/>
      <c r="P75" s="13"/>
      <c r="Q75" s="13"/>
      <c r="R75" s="13"/>
      <c r="S75" s="13"/>
      <c r="T75" s="13"/>
      <c r="U75" s="13"/>
      <c r="V75" s="13"/>
      <c r="W75" s="13"/>
      <c r="X75" s="13"/>
      <c r="Y75" s="13"/>
      <c r="Z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ht="15.75" customHeight="1">
      <c r="A78" s="13"/>
      <c r="B78" s="206" t="s">
        <v>258</v>
      </c>
      <c r="C78" s="37"/>
      <c r="D78" s="37"/>
      <c r="E78" s="37"/>
      <c r="F78" s="37"/>
      <c r="G78" s="37"/>
      <c r="H78" s="37"/>
      <c r="I78" s="13"/>
      <c r="J78" s="13"/>
      <c r="K78" s="13"/>
      <c r="L78" s="13"/>
      <c r="M78" s="13"/>
      <c r="N78" s="13"/>
      <c r="O78" s="13"/>
      <c r="P78" s="13"/>
      <c r="Q78" s="13"/>
      <c r="R78" s="13"/>
      <c r="S78" s="13"/>
      <c r="T78" s="13"/>
      <c r="U78" s="13"/>
      <c r="V78" s="13"/>
      <c r="W78" s="13"/>
      <c r="X78" s="13"/>
      <c r="Y78" s="13"/>
      <c r="Z78" s="13"/>
    </row>
    <row r="79" ht="15.7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ht="15.75" customHeight="1">
      <c r="A80" s="13"/>
      <c r="B80" s="268"/>
      <c r="C80" s="269"/>
      <c r="D80" s="269"/>
      <c r="E80" s="269"/>
      <c r="F80" s="13"/>
      <c r="G80" s="13"/>
      <c r="H80" s="13"/>
      <c r="I80" s="13"/>
      <c r="J80" s="13"/>
      <c r="K80" s="13"/>
      <c r="L80" s="13"/>
      <c r="M80" s="13"/>
      <c r="N80" s="13"/>
      <c r="O80" s="13"/>
      <c r="P80" s="13"/>
      <c r="Q80" s="13"/>
      <c r="R80" s="13"/>
      <c r="S80" s="13"/>
      <c r="T80" s="13"/>
      <c r="U80" s="13"/>
      <c r="V80" s="13"/>
      <c r="W80" s="13"/>
      <c r="X80" s="13"/>
      <c r="Y80" s="13"/>
      <c r="Z80" s="13"/>
    </row>
    <row r="81" ht="15.75" customHeight="1">
      <c r="A81" s="13"/>
      <c r="B81" s="270" t="s">
        <v>259</v>
      </c>
      <c r="C81" s="271" t="s">
        <v>260</v>
      </c>
      <c r="D81" s="271" t="s">
        <v>261</v>
      </c>
      <c r="E81" s="271" t="s">
        <v>262</v>
      </c>
      <c r="F81" s="13"/>
      <c r="G81" s="13"/>
      <c r="H81" s="13"/>
      <c r="I81" s="13"/>
      <c r="J81" s="13"/>
      <c r="K81" s="13"/>
      <c r="L81" s="13"/>
      <c r="M81" s="13"/>
      <c r="N81" s="13"/>
      <c r="O81" s="13"/>
      <c r="P81" s="13"/>
      <c r="Q81" s="13"/>
      <c r="R81" s="13"/>
      <c r="S81" s="13"/>
      <c r="T81" s="13"/>
      <c r="U81" s="13"/>
      <c r="V81" s="13"/>
      <c r="W81" s="13"/>
      <c r="X81" s="13"/>
      <c r="Y81" s="13"/>
      <c r="Z81" s="13"/>
    </row>
    <row r="82" ht="15.75" customHeight="1">
      <c r="A82" s="13"/>
      <c r="B82" s="230" t="s">
        <v>263</v>
      </c>
      <c r="C82" s="272">
        <f>egi_three*'Assumptions (P3)'!D51</f>
        <v>40126.806</v>
      </c>
      <c r="D82" s="273">
        <f>C82/unit_three</f>
        <v>607.9819091</v>
      </c>
      <c r="E82" s="274">
        <f>C82/egi_three</f>
        <v>0.05</v>
      </c>
      <c r="F82" s="13"/>
      <c r="G82" s="75"/>
      <c r="H82" s="13"/>
      <c r="I82" s="13"/>
      <c r="J82" s="13"/>
      <c r="K82" s="13"/>
      <c r="L82" s="13"/>
      <c r="M82" s="13"/>
      <c r="N82" s="13"/>
      <c r="O82" s="13"/>
      <c r="P82" s="13"/>
      <c r="Q82" s="13"/>
      <c r="R82" s="13"/>
      <c r="S82" s="13"/>
      <c r="T82" s="13"/>
      <c r="U82" s="13"/>
      <c r="V82" s="13"/>
      <c r="W82" s="13"/>
      <c r="X82" s="13"/>
      <c r="Y82" s="13"/>
      <c r="Z82" s="13"/>
    </row>
    <row r="83" ht="15.75" customHeight="1">
      <c r="A83" s="13"/>
      <c r="B83" s="230" t="s">
        <v>264</v>
      </c>
      <c r="C83" s="218">
        <f>'Assumptions (P3)'!D52</f>
        <v>80000</v>
      </c>
      <c r="D83" s="273">
        <f>C83/unit_three</f>
        <v>1212.121212</v>
      </c>
      <c r="E83" s="274">
        <f>C83/egi_three</f>
        <v>0.09968398681</v>
      </c>
      <c r="F83" s="13"/>
      <c r="G83" s="13"/>
      <c r="H83" s="13"/>
      <c r="I83" s="13"/>
      <c r="J83" s="13"/>
      <c r="K83" s="13"/>
      <c r="L83" s="13"/>
      <c r="M83" s="13"/>
      <c r="N83" s="13"/>
      <c r="O83" s="13"/>
      <c r="P83" s="13"/>
      <c r="Q83" s="13"/>
      <c r="R83" s="13"/>
      <c r="S83" s="13"/>
      <c r="T83" s="13"/>
      <c r="U83" s="13"/>
      <c r="V83" s="13"/>
      <c r="W83" s="13"/>
      <c r="X83" s="13"/>
      <c r="Y83" s="13"/>
      <c r="Z83" s="13"/>
    </row>
    <row r="84" ht="15.75" customHeight="1">
      <c r="A84" s="13"/>
      <c r="B84" s="230" t="s">
        <v>265</v>
      </c>
      <c r="C84" s="218">
        <f>'Assumptions (P3)'!D53</f>
        <v>10000</v>
      </c>
      <c r="D84" s="273">
        <f>C84/unit_three</f>
        <v>151.5151515</v>
      </c>
      <c r="E84" s="274">
        <f>C84/egi_three</f>
        <v>0.01246049835</v>
      </c>
      <c r="F84" s="13"/>
      <c r="G84" s="13"/>
      <c r="H84" s="13"/>
      <c r="I84" s="13"/>
      <c r="J84" s="13"/>
      <c r="K84" s="13"/>
      <c r="L84" s="13"/>
      <c r="M84" s="13"/>
      <c r="N84" s="13"/>
      <c r="O84" s="13"/>
      <c r="P84" s="13"/>
      <c r="Q84" s="13"/>
      <c r="R84" s="13"/>
      <c r="S84" s="13"/>
      <c r="T84" s="13"/>
      <c r="U84" s="13"/>
      <c r="V84" s="13"/>
      <c r="W84" s="13"/>
      <c r="X84" s="13"/>
      <c r="Y84" s="13"/>
      <c r="Z84" s="13"/>
    </row>
    <row r="85" ht="15.75" customHeight="1">
      <c r="A85" s="13"/>
      <c r="B85" s="230" t="s">
        <v>266</v>
      </c>
      <c r="C85" s="218">
        <f>'Assumptions (P3)'!D54</f>
        <v>10000</v>
      </c>
      <c r="D85" s="273">
        <f>C85/unit_three</f>
        <v>151.5151515</v>
      </c>
      <c r="E85" s="274">
        <f>C85/egi_three</f>
        <v>0.01246049835</v>
      </c>
      <c r="F85" s="13"/>
      <c r="G85" s="13"/>
      <c r="H85" s="13"/>
      <c r="I85" s="13"/>
      <c r="J85" s="13"/>
      <c r="K85" s="13"/>
      <c r="L85" s="13"/>
      <c r="M85" s="13"/>
      <c r="N85" s="13"/>
      <c r="O85" s="13"/>
      <c r="P85" s="13"/>
      <c r="Q85" s="13"/>
      <c r="R85" s="13"/>
      <c r="S85" s="13"/>
      <c r="T85" s="13"/>
      <c r="U85" s="13"/>
      <c r="V85" s="13"/>
      <c r="W85" s="13"/>
      <c r="X85" s="13"/>
      <c r="Y85" s="13"/>
      <c r="Z85" s="13"/>
    </row>
    <row r="86" ht="15.75" customHeight="1">
      <c r="A86" s="13"/>
      <c r="B86" s="230" t="s">
        <v>267</v>
      </c>
      <c r="C86" s="218">
        <f>'Assumptions (P3)'!D55</f>
        <v>5000</v>
      </c>
      <c r="D86" s="273">
        <f>C86/unit_three</f>
        <v>75.75757576</v>
      </c>
      <c r="E86" s="274">
        <f>C86/egi_three</f>
        <v>0.006230249176</v>
      </c>
      <c r="F86" s="13"/>
      <c r="G86" s="13"/>
      <c r="H86" s="13"/>
      <c r="I86" s="13"/>
      <c r="J86" s="13"/>
      <c r="K86" s="13"/>
      <c r="L86" s="13"/>
      <c r="M86" s="13"/>
      <c r="N86" s="13"/>
      <c r="O86" s="13"/>
      <c r="P86" s="13"/>
      <c r="Q86" s="13"/>
      <c r="R86" s="13"/>
      <c r="S86" s="13"/>
      <c r="T86" s="13"/>
      <c r="U86" s="13"/>
      <c r="V86" s="13"/>
      <c r="W86" s="13"/>
      <c r="X86" s="13"/>
      <c r="Y86" s="13"/>
      <c r="Z86" s="13"/>
    </row>
    <row r="87" ht="15.75" customHeight="1">
      <c r="A87" s="13"/>
      <c r="B87" s="153" t="s">
        <v>268</v>
      </c>
      <c r="C87" s="221">
        <f>'Assumptions (P3)'!D56*unit_three</f>
        <v>9953.225806</v>
      </c>
      <c r="D87" s="273">
        <f>C87/unit_three</f>
        <v>150.8064516</v>
      </c>
      <c r="E87" s="274">
        <f>C87/egi_three</f>
        <v>0.01240221537</v>
      </c>
      <c r="F87" s="13"/>
      <c r="G87" s="13"/>
      <c r="H87" s="13"/>
      <c r="I87" s="13"/>
      <c r="J87" s="13"/>
      <c r="K87" s="13"/>
      <c r="L87" s="13"/>
      <c r="M87" s="13"/>
      <c r="N87" s="13"/>
      <c r="O87" s="13"/>
      <c r="P87" s="13"/>
      <c r="Q87" s="13"/>
      <c r="R87" s="13"/>
      <c r="S87" s="13"/>
      <c r="T87" s="13"/>
      <c r="U87" s="13"/>
      <c r="V87" s="13"/>
      <c r="W87" s="13"/>
      <c r="X87" s="13"/>
      <c r="Y87" s="13"/>
      <c r="Z87" s="13"/>
    </row>
    <row r="88" ht="15.75" customHeight="1">
      <c r="A88" s="13"/>
      <c r="B88" s="275" t="s">
        <v>269</v>
      </c>
      <c r="C88" s="276">
        <f>SUM(C82:C87)</f>
        <v>155080.0318</v>
      </c>
      <c r="D88" s="276">
        <f>C88/unit_three</f>
        <v>2349.697452</v>
      </c>
      <c r="E88" s="277">
        <f>C88/egi_three</f>
        <v>0.1932374481</v>
      </c>
      <c r="F88" s="13"/>
      <c r="G88" s="13"/>
      <c r="H88" s="13"/>
      <c r="I88" s="13"/>
      <c r="J88" s="13"/>
      <c r="K88" s="13"/>
      <c r="L88" s="13"/>
      <c r="M88" s="13"/>
      <c r="N88" s="13"/>
      <c r="O88" s="13"/>
      <c r="P88" s="13"/>
      <c r="Q88" s="13"/>
      <c r="R88" s="13"/>
      <c r="S88" s="13"/>
      <c r="T88" s="13"/>
      <c r="U88" s="13"/>
      <c r="V88" s="13"/>
      <c r="W88" s="13"/>
      <c r="X88" s="13"/>
      <c r="Y88" s="13"/>
      <c r="Z88" s="13"/>
    </row>
    <row r="89" ht="15.75" customHeight="1">
      <c r="A89" s="13"/>
      <c r="B89" s="278"/>
      <c r="C89" s="279"/>
      <c r="D89" s="279"/>
      <c r="E89" s="280"/>
      <c r="F89" s="13"/>
      <c r="G89" s="13"/>
      <c r="H89" s="13"/>
      <c r="I89" s="13"/>
      <c r="J89" s="13"/>
      <c r="K89" s="13"/>
      <c r="L89" s="13"/>
      <c r="M89" s="13"/>
      <c r="N89" s="13"/>
      <c r="O89" s="13"/>
      <c r="P89" s="13"/>
      <c r="Q89" s="13"/>
      <c r="R89" s="13"/>
      <c r="S89" s="13"/>
      <c r="T89" s="13"/>
      <c r="U89" s="13"/>
      <c r="V89" s="13"/>
      <c r="W89" s="13"/>
      <c r="X89" s="13"/>
      <c r="Y89" s="13"/>
      <c r="Z89" s="13"/>
    </row>
    <row r="90" ht="15.75" customHeight="1">
      <c r="A90" s="13"/>
      <c r="B90" s="270" t="s">
        <v>270</v>
      </c>
      <c r="C90" s="281"/>
      <c r="D90" s="281"/>
      <c r="E90" s="282"/>
      <c r="F90" s="13"/>
      <c r="G90" s="13"/>
      <c r="H90" s="13"/>
      <c r="I90" s="13"/>
      <c r="J90" s="13"/>
      <c r="K90" s="13"/>
      <c r="L90" s="13"/>
      <c r="M90" s="13"/>
      <c r="N90" s="13"/>
      <c r="O90" s="13"/>
      <c r="P90" s="13"/>
      <c r="Q90" s="13"/>
      <c r="R90" s="13"/>
      <c r="S90" s="13"/>
      <c r="T90" s="13"/>
      <c r="U90" s="13"/>
      <c r="V90" s="13"/>
      <c r="W90" s="13"/>
      <c r="X90" s="13"/>
      <c r="Y90" s="13"/>
      <c r="Z90" s="13"/>
    </row>
    <row r="91" ht="15.75" customHeight="1">
      <c r="A91" s="13"/>
      <c r="B91" s="230" t="s">
        <v>271</v>
      </c>
      <c r="C91" s="272">
        <f>unit_three*'Assumptions (P3)'!D59*(1-'Assumptions (P3)'!D60)</f>
        <v>11880</v>
      </c>
      <c r="D91" s="273">
        <f>C91/unit_three</f>
        <v>180</v>
      </c>
      <c r="E91" s="274">
        <f>C91/egi_three</f>
        <v>0.01480307204</v>
      </c>
      <c r="F91" s="13"/>
      <c r="G91" s="13"/>
      <c r="H91" s="13"/>
      <c r="I91" s="13"/>
      <c r="J91" s="13"/>
      <c r="K91" s="13"/>
      <c r="L91" s="13"/>
      <c r="M91" s="13"/>
      <c r="N91" s="13"/>
      <c r="O91" s="13"/>
      <c r="P91" s="13"/>
      <c r="Q91" s="13"/>
      <c r="R91" s="13"/>
      <c r="S91" s="13"/>
      <c r="T91" s="13"/>
      <c r="U91" s="13"/>
      <c r="V91" s="13"/>
      <c r="W91" s="13"/>
      <c r="X91" s="13"/>
      <c r="Y91" s="13"/>
      <c r="Z91" s="13"/>
    </row>
    <row r="92" ht="15.75" customHeight="1">
      <c r="A92" s="13"/>
      <c r="B92" s="230" t="s">
        <v>272</v>
      </c>
      <c r="C92" s="218">
        <f>unit_three*'Assumptions (P3)'!D61*(1-'Assumptions (P3)'!D62)</f>
        <v>5280</v>
      </c>
      <c r="D92" s="273">
        <f>C92/unit_three</f>
        <v>80</v>
      </c>
      <c r="E92" s="274">
        <f>C92/egi_three</f>
        <v>0.006579143129</v>
      </c>
      <c r="F92" s="95"/>
      <c r="G92" s="13"/>
      <c r="H92" s="13"/>
      <c r="I92" s="13"/>
      <c r="J92" s="13"/>
      <c r="K92" s="13"/>
      <c r="L92" s="13"/>
      <c r="M92" s="13"/>
      <c r="N92" s="13"/>
      <c r="O92" s="13"/>
      <c r="P92" s="13"/>
      <c r="Q92" s="13"/>
      <c r="R92" s="13"/>
      <c r="S92" s="13"/>
      <c r="T92" s="13"/>
      <c r="U92" s="13"/>
      <c r="V92" s="13"/>
      <c r="W92" s="13"/>
      <c r="X92" s="13"/>
      <c r="Y92" s="13"/>
      <c r="Z92" s="13"/>
    </row>
    <row r="93" ht="15.75" customHeight="1">
      <c r="A93" s="13"/>
      <c r="B93" s="230" t="s">
        <v>273</v>
      </c>
      <c r="C93" s="221">
        <f>unit_three*'Assumptions (P3)'!D63</f>
        <v>0</v>
      </c>
      <c r="D93" s="273">
        <f>C93/unit_three</f>
        <v>0</v>
      </c>
      <c r="E93" s="274">
        <f>C93/egi_three</f>
        <v>0</v>
      </c>
      <c r="F93" s="13"/>
      <c r="G93" s="13"/>
      <c r="H93" s="13"/>
      <c r="I93" s="13"/>
      <c r="J93" s="13"/>
      <c r="K93" s="13"/>
      <c r="L93" s="13"/>
      <c r="M93" s="13"/>
      <c r="N93" s="13"/>
      <c r="O93" s="13"/>
      <c r="P93" s="13"/>
      <c r="Q93" s="13"/>
      <c r="R93" s="13"/>
      <c r="S93" s="13"/>
      <c r="T93" s="13"/>
      <c r="U93" s="13"/>
      <c r="V93" s="13"/>
      <c r="W93" s="13"/>
      <c r="X93" s="13"/>
      <c r="Y93" s="13"/>
      <c r="Z93" s="13"/>
    </row>
    <row r="94" ht="15.75" customHeight="1">
      <c r="A94" s="13"/>
      <c r="B94" s="283" t="s">
        <v>274</v>
      </c>
      <c r="C94" s="276">
        <f>SUM(C91:C93)</f>
        <v>17160</v>
      </c>
      <c r="D94" s="276">
        <f>C94/unit_three</f>
        <v>260</v>
      </c>
      <c r="E94" s="277">
        <f>C94/egi_three</f>
        <v>0.02138221517</v>
      </c>
      <c r="F94" s="13"/>
      <c r="G94" s="13"/>
      <c r="H94" s="13"/>
      <c r="I94" s="13"/>
      <c r="J94" s="13"/>
      <c r="K94" s="13"/>
      <c r="L94" s="13"/>
      <c r="M94" s="13"/>
      <c r="N94" s="13"/>
      <c r="O94" s="13"/>
      <c r="P94" s="13"/>
      <c r="Q94" s="13"/>
      <c r="R94" s="13"/>
      <c r="S94" s="13"/>
      <c r="T94" s="13"/>
      <c r="U94" s="13"/>
      <c r="V94" s="13"/>
      <c r="W94" s="13"/>
      <c r="X94" s="13"/>
      <c r="Y94" s="13"/>
      <c r="Z94" s="13"/>
    </row>
    <row r="95" ht="15.75" customHeight="1">
      <c r="A95" s="13"/>
      <c r="B95" s="230"/>
      <c r="C95" s="279"/>
      <c r="D95" s="279"/>
      <c r="E95" s="280"/>
      <c r="F95" s="13"/>
      <c r="G95" s="13"/>
      <c r="H95" s="13"/>
      <c r="I95" s="13"/>
      <c r="J95" s="13"/>
      <c r="K95" s="13"/>
      <c r="L95" s="13"/>
      <c r="M95" s="13"/>
      <c r="N95" s="13"/>
      <c r="O95" s="13"/>
      <c r="P95" s="13"/>
      <c r="Q95" s="13"/>
      <c r="R95" s="13"/>
      <c r="S95" s="13"/>
      <c r="T95" s="13"/>
      <c r="U95" s="13"/>
      <c r="V95" s="13"/>
      <c r="W95" s="13"/>
      <c r="X95" s="13"/>
      <c r="Y95" s="13"/>
      <c r="Z95" s="13"/>
    </row>
    <row r="96" ht="15.75" customHeight="1">
      <c r="A96" s="13"/>
      <c r="B96" s="270" t="s">
        <v>275</v>
      </c>
      <c r="C96" s="281"/>
      <c r="D96" s="281"/>
      <c r="E96" s="282"/>
      <c r="F96" s="13"/>
      <c r="G96" s="13"/>
      <c r="H96" s="13"/>
      <c r="I96" s="13"/>
      <c r="J96" s="13"/>
      <c r="K96" s="13"/>
      <c r="L96" s="13"/>
      <c r="M96" s="13"/>
      <c r="N96" s="13"/>
      <c r="O96" s="13"/>
      <c r="P96" s="13"/>
      <c r="Q96" s="13"/>
      <c r="R96" s="13"/>
      <c r="S96" s="13"/>
      <c r="T96" s="13"/>
      <c r="U96" s="13"/>
      <c r="V96" s="13"/>
      <c r="W96" s="13"/>
      <c r="X96" s="13"/>
      <c r="Y96" s="13"/>
      <c r="Z96" s="13"/>
    </row>
    <row r="97" ht="15.75" customHeight="1">
      <c r="A97" s="13"/>
      <c r="B97" s="230" t="s">
        <v>276</v>
      </c>
      <c r="C97" s="272">
        <f>'Assumptions (P3)'!D66</f>
        <v>70000</v>
      </c>
      <c r="D97" s="273">
        <f>C97/unit_three</f>
        <v>1060.606061</v>
      </c>
      <c r="E97" s="274">
        <f>C97/egi_three</f>
        <v>0.08722348846</v>
      </c>
      <c r="F97" s="13"/>
      <c r="G97" s="13"/>
      <c r="H97" s="13"/>
      <c r="I97" s="13"/>
      <c r="J97" s="13"/>
      <c r="K97" s="13"/>
      <c r="L97" s="13"/>
      <c r="M97" s="13"/>
      <c r="N97" s="13"/>
      <c r="O97" s="13"/>
      <c r="P97" s="13"/>
      <c r="Q97" s="13"/>
      <c r="R97" s="13"/>
      <c r="S97" s="13"/>
      <c r="T97" s="13"/>
      <c r="U97" s="13"/>
      <c r="V97" s="13"/>
      <c r="W97" s="13"/>
      <c r="X97" s="13"/>
      <c r="Y97" s="13"/>
      <c r="Z97" s="13"/>
    </row>
    <row r="98" ht="15.75" customHeight="1">
      <c r="A98" s="13"/>
      <c r="B98" s="230" t="s">
        <v>277</v>
      </c>
      <c r="C98" s="218">
        <f>unit_three*'Assumptions (P3)'!D67</f>
        <v>3960</v>
      </c>
      <c r="D98" s="273">
        <f>C98/unit_three</f>
        <v>60</v>
      </c>
      <c r="E98" s="274">
        <f>C98/egi_three</f>
        <v>0.004934357347</v>
      </c>
      <c r="F98" s="13"/>
      <c r="G98" s="13"/>
      <c r="H98" s="13"/>
      <c r="I98" s="13"/>
      <c r="J98" s="13"/>
      <c r="K98" s="13"/>
      <c r="L98" s="13"/>
      <c r="M98" s="13"/>
      <c r="N98" s="13"/>
      <c r="O98" s="13"/>
      <c r="P98" s="13"/>
      <c r="Q98" s="13"/>
      <c r="R98" s="13"/>
      <c r="S98" s="13"/>
      <c r="T98" s="13"/>
      <c r="U98" s="13"/>
      <c r="V98" s="13"/>
      <c r="W98" s="13"/>
      <c r="X98" s="13"/>
      <c r="Y98" s="13"/>
      <c r="Z98" s="13"/>
    </row>
    <row r="99" ht="15.75" customHeight="1">
      <c r="A99" s="13"/>
      <c r="B99" s="284" t="s">
        <v>278</v>
      </c>
      <c r="C99" s="218">
        <f>unit_three*'Assumptions (P3)'!D68</f>
        <v>1980</v>
      </c>
      <c r="D99" s="273">
        <f>C99/unit_three</f>
        <v>30</v>
      </c>
      <c r="E99" s="274">
        <f>C99/egi_three</f>
        <v>0.002467178674</v>
      </c>
      <c r="F99" s="13"/>
      <c r="G99" s="13"/>
      <c r="H99" s="13"/>
      <c r="I99" s="13"/>
      <c r="J99" s="13"/>
      <c r="K99" s="13"/>
      <c r="L99" s="13"/>
      <c r="M99" s="13"/>
      <c r="N99" s="13"/>
      <c r="O99" s="13"/>
      <c r="P99" s="13"/>
      <c r="Q99" s="13"/>
      <c r="R99" s="13"/>
      <c r="S99" s="13"/>
      <c r="T99" s="13"/>
      <c r="U99" s="13"/>
      <c r="V99" s="13"/>
      <c r="W99" s="13"/>
      <c r="X99" s="13"/>
      <c r="Y99" s="13"/>
      <c r="Z99" s="13"/>
    </row>
    <row r="100" ht="15.75" customHeight="1">
      <c r="A100" s="13"/>
      <c r="B100" s="230" t="s">
        <v>279</v>
      </c>
      <c r="C100" s="218">
        <f>unit_three*'Assumptions (P3)'!D69</f>
        <v>19800</v>
      </c>
      <c r="D100" s="273">
        <f>C100/unit_three</f>
        <v>300</v>
      </c>
      <c r="E100" s="274">
        <f>C100/egi_three</f>
        <v>0.02467178674</v>
      </c>
      <c r="F100" s="13"/>
      <c r="G100" s="13"/>
      <c r="H100" s="13"/>
      <c r="I100" s="13"/>
      <c r="J100" s="13"/>
      <c r="K100" s="13"/>
      <c r="L100" s="13"/>
      <c r="M100" s="13"/>
      <c r="N100" s="13"/>
      <c r="O100" s="13"/>
      <c r="P100" s="13"/>
      <c r="Q100" s="13"/>
      <c r="R100" s="13"/>
      <c r="S100" s="13"/>
      <c r="T100" s="13"/>
      <c r="U100" s="13"/>
      <c r="V100" s="13"/>
      <c r="W100" s="13"/>
      <c r="X100" s="13"/>
      <c r="Y100" s="13"/>
      <c r="Z100" s="13"/>
    </row>
    <row r="101" ht="15.75" customHeight="1">
      <c r="A101" s="13"/>
      <c r="B101" s="230" t="s">
        <v>280</v>
      </c>
      <c r="C101" s="218">
        <f>unit_three*'Assumptions (P3)'!D70</f>
        <v>1980</v>
      </c>
      <c r="D101" s="273">
        <f>C101/unit_three</f>
        <v>30</v>
      </c>
      <c r="E101" s="274">
        <f>C101/egi_three</f>
        <v>0.002467178674</v>
      </c>
      <c r="F101" s="13"/>
      <c r="G101" s="13"/>
      <c r="H101" s="13"/>
      <c r="I101" s="13"/>
      <c r="J101" s="13"/>
      <c r="K101" s="13"/>
      <c r="L101" s="13"/>
      <c r="M101" s="13"/>
      <c r="N101" s="13"/>
      <c r="O101" s="13"/>
      <c r="P101" s="13"/>
      <c r="Q101" s="13"/>
      <c r="R101" s="13"/>
      <c r="S101" s="13"/>
      <c r="T101" s="13"/>
      <c r="U101" s="13"/>
      <c r="V101" s="13"/>
      <c r="W101" s="13"/>
      <c r="X101" s="13"/>
      <c r="Y101" s="13"/>
      <c r="Z101" s="13"/>
    </row>
    <row r="102" ht="15.75" customHeight="1">
      <c r="A102" s="13"/>
      <c r="B102" s="230" t="s">
        <v>281</v>
      </c>
      <c r="C102" s="218">
        <f>unit_three*'Assumptions (P3)'!D71</f>
        <v>3960</v>
      </c>
      <c r="D102" s="273">
        <f>C102/unit_three</f>
        <v>60</v>
      </c>
      <c r="E102" s="274">
        <f>C102/egi_three</f>
        <v>0.004934357347</v>
      </c>
      <c r="F102" s="13"/>
      <c r="G102" s="13"/>
      <c r="H102" s="13"/>
      <c r="I102" s="13"/>
      <c r="J102" s="13"/>
      <c r="K102" s="13"/>
      <c r="L102" s="13"/>
      <c r="M102" s="13"/>
      <c r="N102" s="13"/>
      <c r="O102" s="13"/>
      <c r="P102" s="13"/>
      <c r="Q102" s="13"/>
      <c r="R102" s="13"/>
      <c r="S102" s="13"/>
      <c r="T102" s="13"/>
      <c r="U102" s="13"/>
      <c r="V102" s="13"/>
      <c r="W102" s="13"/>
      <c r="X102" s="13"/>
      <c r="Y102" s="13"/>
      <c r="Z102" s="13"/>
    </row>
    <row r="103" ht="15.75" customHeight="1">
      <c r="A103" s="13"/>
      <c r="B103" s="230" t="s">
        <v>282</v>
      </c>
      <c r="C103" s="218">
        <f>unit_three*'Assumptions (P3)'!D72</f>
        <v>3960</v>
      </c>
      <c r="D103" s="273">
        <f>C103/unit_three</f>
        <v>60</v>
      </c>
      <c r="E103" s="274">
        <f>C103/egi_three</f>
        <v>0.004934357347</v>
      </c>
      <c r="F103" s="13"/>
      <c r="G103" s="13"/>
      <c r="H103" s="13"/>
      <c r="I103" s="13"/>
      <c r="J103" s="13"/>
      <c r="K103" s="13"/>
      <c r="L103" s="13"/>
      <c r="M103" s="13"/>
      <c r="N103" s="13"/>
      <c r="O103" s="13"/>
      <c r="P103" s="13"/>
      <c r="Q103" s="13"/>
      <c r="R103" s="13"/>
      <c r="S103" s="13"/>
      <c r="T103" s="13"/>
      <c r="U103" s="13"/>
      <c r="V103" s="13"/>
      <c r="W103" s="13"/>
      <c r="X103" s="13"/>
      <c r="Y103" s="13"/>
      <c r="Z103" s="13"/>
    </row>
    <row r="104" ht="15.75" customHeight="1">
      <c r="A104" s="13"/>
      <c r="B104" s="230" t="s">
        <v>283</v>
      </c>
      <c r="C104" s="218">
        <f>unit_three*'Assumptions (P3)'!D73</f>
        <v>1980</v>
      </c>
      <c r="D104" s="273">
        <f>C104/unit_three</f>
        <v>30</v>
      </c>
      <c r="E104" s="274">
        <f>C104/egi_three</f>
        <v>0.002467178674</v>
      </c>
      <c r="F104" s="95"/>
      <c r="G104" s="13"/>
      <c r="H104" s="13"/>
      <c r="I104" s="13"/>
      <c r="J104" s="13"/>
      <c r="K104" s="13"/>
      <c r="L104" s="13"/>
      <c r="M104" s="13"/>
      <c r="N104" s="13"/>
      <c r="O104" s="13"/>
      <c r="P104" s="13"/>
      <c r="Q104" s="13"/>
      <c r="R104" s="13"/>
      <c r="S104" s="13"/>
      <c r="T104" s="13"/>
      <c r="U104" s="13"/>
      <c r="V104" s="13"/>
      <c r="W104" s="13"/>
      <c r="X104" s="13"/>
      <c r="Y104" s="13"/>
      <c r="Z104" s="13"/>
    </row>
    <row r="105" ht="15.75" customHeight="1">
      <c r="A105" s="13"/>
      <c r="B105" s="153" t="s">
        <v>284</v>
      </c>
      <c r="C105" s="221">
        <f>unit_three*'Assumptions (P3)'!D74</f>
        <v>1650</v>
      </c>
      <c r="D105" s="273">
        <f>C105/unit_three</f>
        <v>25</v>
      </c>
      <c r="E105" s="274">
        <f>C105/egi_three</f>
        <v>0.002055982228</v>
      </c>
      <c r="F105" s="13"/>
      <c r="G105" s="13"/>
      <c r="H105" s="13"/>
      <c r="I105" s="13"/>
      <c r="J105" s="13"/>
      <c r="K105" s="13"/>
      <c r="L105" s="13"/>
      <c r="M105" s="13"/>
      <c r="N105" s="13"/>
      <c r="O105" s="13"/>
      <c r="P105" s="13"/>
      <c r="Q105" s="13"/>
      <c r="R105" s="13"/>
      <c r="S105" s="13"/>
      <c r="T105" s="13"/>
      <c r="U105" s="13"/>
      <c r="V105" s="13"/>
      <c r="W105" s="13"/>
      <c r="X105" s="13"/>
      <c r="Y105" s="13"/>
      <c r="Z105" s="13"/>
    </row>
    <row r="106" ht="15.75" customHeight="1">
      <c r="A106" s="13"/>
      <c r="B106" s="275" t="s">
        <v>285</v>
      </c>
      <c r="C106" s="276">
        <f>SUM(C97:C105)</f>
        <v>109270</v>
      </c>
      <c r="D106" s="276">
        <f>C106/unit_three</f>
        <v>1655.606061</v>
      </c>
      <c r="E106" s="277">
        <f>C106/egi_three</f>
        <v>0.1361558655</v>
      </c>
      <c r="F106" s="13"/>
      <c r="G106" s="13"/>
      <c r="H106" s="13"/>
      <c r="I106" s="13"/>
      <c r="J106" s="13"/>
      <c r="K106" s="13"/>
      <c r="L106" s="13"/>
      <c r="M106" s="13"/>
      <c r="N106" s="13"/>
      <c r="O106" s="13"/>
      <c r="P106" s="13"/>
      <c r="Q106" s="13"/>
      <c r="R106" s="13"/>
      <c r="S106" s="13"/>
      <c r="T106" s="13"/>
      <c r="U106" s="13"/>
      <c r="V106" s="13"/>
      <c r="W106" s="13"/>
      <c r="X106" s="13"/>
      <c r="Y106" s="13"/>
      <c r="Z106" s="13"/>
    </row>
    <row r="107" ht="15.75" customHeight="1">
      <c r="A107" s="13"/>
      <c r="B107" s="230"/>
      <c r="C107" s="279"/>
      <c r="D107" s="279"/>
      <c r="E107" s="280"/>
      <c r="F107" s="13"/>
      <c r="G107" s="13"/>
      <c r="H107" s="13"/>
      <c r="I107" s="13"/>
      <c r="J107" s="13"/>
      <c r="K107" s="13"/>
      <c r="L107" s="13"/>
      <c r="M107" s="13"/>
      <c r="N107" s="13"/>
      <c r="O107" s="13"/>
      <c r="P107" s="13"/>
      <c r="Q107" s="13"/>
      <c r="R107" s="13"/>
      <c r="S107" s="13"/>
      <c r="T107" s="13"/>
      <c r="U107" s="13"/>
      <c r="V107" s="13"/>
      <c r="W107" s="13"/>
      <c r="X107" s="13"/>
      <c r="Y107" s="13"/>
      <c r="Z107" s="13"/>
    </row>
    <row r="108" ht="15.75" customHeight="1">
      <c r="A108" s="13"/>
      <c r="B108" s="270" t="s">
        <v>286</v>
      </c>
      <c r="C108" s="281"/>
      <c r="D108" s="281"/>
      <c r="E108" s="282"/>
      <c r="F108" s="13"/>
      <c r="G108" s="13"/>
      <c r="H108" s="13"/>
      <c r="I108" s="13"/>
      <c r="J108" s="13"/>
      <c r="K108" s="13"/>
      <c r="L108" s="13"/>
      <c r="M108" s="13"/>
      <c r="N108" s="13"/>
      <c r="O108" s="13"/>
      <c r="P108" s="13"/>
      <c r="Q108" s="13"/>
      <c r="R108" s="13"/>
      <c r="S108" s="13"/>
      <c r="T108" s="13"/>
      <c r="U108" s="13"/>
      <c r="V108" s="13"/>
      <c r="W108" s="13"/>
      <c r="X108" s="13"/>
      <c r="Y108" s="13"/>
      <c r="Z108" s="13"/>
    </row>
    <row r="109" ht="15.75" customHeight="1">
      <c r="A109" s="13"/>
      <c r="B109" s="230" t="s">
        <v>287</v>
      </c>
      <c r="C109" s="272">
        <f>'Assumptions (P3)'!D82</f>
        <v>171157</v>
      </c>
      <c r="D109" s="273">
        <f>C109/unit_three</f>
        <v>2593.287879</v>
      </c>
      <c r="E109" s="274">
        <f>C109/egi_three</f>
        <v>0.2132701516</v>
      </c>
      <c r="F109" s="95"/>
      <c r="G109" s="13"/>
      <c r="H109" s="13"/>
      <c r="I109" s="13"/>
      <c r="J109" s="13"/>
      <c r="K109" s="13"/>
      <c r="L109" s="13"/>
      <c r="M109" s="13"/>
      <c r="N109" s="13"/>
      <c r="O109" s="13"/>
      <c r="P109" s="13"/>
      <c r="Q109" s="13"/>
      <c r="R109" s="13"/>
      <c r="S109" s="13"/>
      <c r="T109" s="13"/>
      <c r="U109" s="13"/>
      <c r="V109" s="13"/>
      <c r="W109" s="13"/>
      <c r="X109" s="13"/>
      <c r="Y109" s="13"/>
      <c r="Z109" s="13"/>
    </row>
    <row r="110" ht="15.75" customHeight="1">
      <c r="A110" s="13"/>
      <c r="B110" s="153" t="s">
        <v>56</v>
      </c>
      <c r="C110" s="272">
        <f>'Assumptions (P3)'!D83</f>
        <v>0</v>
      </c>
      <c r="D110" s="273">
        <f>C110/unit_three</f>
        <v>0</v>
      </c>
      <c r="E110" s="274">
        <f>C110/egi_three</f>
        <v>0</v>
      </c>
      <c r="F110" s="13"/>
      <c r="G110" s="13"/>
      <c r="H110" s="13"/>
      <c r="I110" s="13"/>
      <c r="J110" s="13"/>
      <c r="K110" s="13"/>
      <c r="L110" s="13"/>
      <c r="M110" s="13"/>
      <c r="N110" s="13"/>
      <c r="O110" s="13"/>
      <c r="P110" s="13"/>
      <c r="Q110" s="13"/>
      <c r="R110" s="13"/>
      <c r="S110" s="13"/>
      <c r="T110" s="13"/>
      <c r="U110" s="13"/>
      <c r="V110" s="13"/>
      <c r="W110" s="13"/>
      <c r="X110" s="13"/>
      <c r="Y110" s="13"/>
      <c r="Z110" s="13"/>
    </row>
    <row r="111" ht="15.75" customHeight="1">
      <c r="A111" s="13"/>
      <c r="B111" s="275" t="s">
        <v>288</v>
      </c>
      <c r="C111" s="276">
        <f>SUM(C109:C110)</f>
        <v>171157</v>
      </c>
      <c r="D111" s="276">
        <f>C111/unit_three</f>
        <v>2593.287879</v>
      </c>
      <c r="E111" s="277">
        <f>C111/egi_three</f>
        <v>0.2132701516</v>
      </c>
      <c r="F111" s="13"/>
      <c r="G111" s="13"/>
      <c r="H111" s="13"/>
      <c r="I111" s="13"/>
      <c r="J111" s="13"/>
      <c r="K111" s="13"/>
      <c r="L111" s="13"/>
      <c r="M111" s="13"/>
      <c r="N111" s="13"/>
      <c r="O111" s="13"/>
      <c r="P111" s="13"/>
      <c r="Q111" s="13"/>
      <c r="R111" s="13"/>
      <c r="S111" s="13"/>
      <c r="T111" s="13"/>
      <c r="U111" s="13"/>
      <c r="V111" s="13"/>
      <c r="W111" s="13"/>
      <c r="X111" s="13"/>
      <c r="Y111" s="13"/>
      <c r="Z111" s="13"/>
    </row>
    <row r="112" ht="15.75" customHeight="1">
      <c r="A112" s="13"/>
      <c r="B112" s="278"/>
      <c r="C112" s="279"/>
      <c r="D112" s="279"/>
      <c r="E112" s="280"/>
      <c r="F112" s="13"/>
      <c r="G112" s="13"/>
      <c r="H112" s="13"/>
      <c r="I112" s="13"/>
      <c r="J112" s="13"/>
      <c r="K112" s="13"/>
      <c r="L112" s="13"/>
      <c r="M112" s="13"/>
      <c r="N112" s="13"/>
      <c r="O112" s="13"/>
      <c r="P112" s="13"/>
      <c r="Q112" s="13"/>
      <c r="R112" s="13"/>
      <c r="S112" s="13"/>
      <c r="T112" s="13"/>
      <c r="U112" s="13"/>
      <c r="V112" s="13"/>
      <c r="W112" s="13"/>
      <c r="X112" s="13"/>
      <c r="Y112" s="13"/>
      <c r="Z112" s="13"/>
    </row>
    <row r="113" ht="15.75" customHeight="1">
      <c r="A113" s="13"/>
      <c r="B113" s="270" t="s">
        <v>289</v>
      </c>
      <c r="C113" s="281"/>
      <c r="D113" s="281"/>
      <c r="E113" s="282"/>
      <c r="F113" s="13"/>
      <c r="G113" s="13"/>
      <c r="H113" s="13"/>
      <c r="I113" s="13"/>
      <c r="J113" s="13"/>
      <c r="K113" s="13"/>
      <c r="L113" s="13"/>
      <c r="M113" s="13"/>
      <c r="N113" s="13"/>
      <c r="O113" s="13"/>
      <c r="P113" s="13"/>
      <c r="Q113" s="13"/>
      <c r="R113" s="13"/>
      <c r="S113" s="13"/>
      <c r="T113" s="13"/>
      <c r="U113" s="13"/>
      <c r="V113" s="13"/>
      <c r="W113" s="13"/>
      <c r="X113" s="13"/>
      <c r="Y113" s="13"/>
      <c r="Z113" s="13"/>
    </row>
    <row r="114" ht="15.75" customHeight="1">
      <c r="A114" s="13"/>
      <c r="B114" s="230" t="s">
        <v>290</v>
      </c>
      <c r="C114" s="272">
        <f>unit_three*'Assumptions (P3)'!D86</f>
        <v>12999.37965</v>
      </c>
      <c r="D114" s="273">
        <f>C114/unit_three</f>
        <v>196.9602978</v>
      </c>
      <c r="E114" s="274">
        <f>C114/egi_three</f>
        <v>0.01619787487</v>
      </c>
      <c r="F114" s="13"/>
      <c r="G114" s="13"/>
      <c r="H114" s="13"/>
      <c r="I114" s="13"/>
      <c r="J114" s="13"/>
      <c r="K114" s="13"/>
      <c r="L114" s="13"/>
      <c r="M114" s="13"/>
      <c r="N114" s="13"/>
      <c r="O114" s="13"/>
      <c r="P114" s="13"/>
      <c r="Q114" s="13"/>
      <c r="R114" s="13"/>
      <c r="S114" s="13"/>
      <c r="T114" s="13"/>
      <c r="U114" s="13"/>
      <c r="V114" s="13"/>
      <c r="W114" s="13"/>
      <c r="X114" s="13"/>
      <c r="Y114" s="13"/>
      <c r="Z114" s="13"/>
    </row>
    <row r="115" ht="15.75" customHeight="1">
      <c r="A115" s="13"/>
      <c r="B115" s="153" t="s">
        <v>291</v>
      </c>
      <c r="C115" s="221">
        <f>'Assumptions (P3)'!D87*unit_three</f>
        <v>1980</v>
      </c>
      <c r="D115" s="273">
        <f>C115/unit_three</f>
        <v>30</v>
      </c>
      <c r="E115" s="274">
        <f>C115/egi_three</f>
        <v>0.002467178674</v>
      </c>
      <c r="F115" s="13"/>
      <c r="G115" s="13"/>
      <c r="H115" s="13"/>
      <c r="I115" s="13"/>
      <c r="J115" s="13"/>
      <c r="K115" s="13"/>
      <c r="L115" s="13"/>
      <c r="M115" s="13"/>
      <c r="N115" s="13"/>
      <c r="O115" s="13"/>
      <c r="P115" s="13"/>
      <c r="Q115" s="13"/>
      <c r="R115" s="13"/>
      <c r="S115" s="13"/>
      <c r="T115" s="13"/>
      <c r="U115" s="13"/>
      <c r="V115" s="13"/>
      <c r="W115" s="13"/>
      <c r="X115" s="13"/>
      <c r="Y115" s="13"/>
      <c r="Z115" s="13"/>
    </row>
    <row r="116" ht="15.75" customHeight="1">
      <c r="A116" s="13"/>
      <c r="B116" s="275" t="s">
        <v>292</v>
      </c>
      <c r="C116" s="276">
        <f>SUM(C114:C115)</f>
        <v>14979.37965</v>
      </c>
      <c r="D116" s="276">
        <f>C116/unit_three</f>
        <v>226.9602978</v>
      </c>
      <c r="E116" s="277">
        <f>C116/egi_three</f>
        <v>0.01866505355</v>
      </c>
      <c r="F116" s="13"/>
      <c r="G116" s="13"/>
      <c r="H116" s="13"/>
      <c r="I116" s="13"/>
      <c r="J116" s="13"/>
      <c r="K116" s="13"/>
      <c r="L116" s="13"/>
      <c r="M116" s="13"/>
      <c r="N116" s="13"/>
      <c r="O116" s="13"/>
      <c r="P116" s="13"/>
      <c r="Q116" s="13"/>
      <c r="R116" s="13"/>
      <c r="S116" s="13"/>
      <c r="T116" s="13"/>
      <c r="U116" s="13"/>
      <c r="V116" s="13"/>
      <c r="W116" s="13"/>
      <c r="X116" s="13"/>
      <c r="Y116" s="13"/>
      <c r="Z116" s="13"/>
    </row>
    <row r="117" ht="15.75" customHeight="1">
      <c r="A117" s="13"/>
      <c r="B117" s="230"/>
      <c r="C117" s="279"/>
      <c r="D117" s="279"/>
      <c r="E117" s="280"/>
      <c r="F117" s="13"/>
      <c r="G117" s="13"/>
      <c r="H117" s="13"/>
      <c r="I117" s="13"/>
      <c r="J117" s="13"/>
      <c r="K117" s="13"/>
      <c r="L117" s="13"/>
      <c r="M117" s="13"/>
      <c r="N117" s="13"/>
      <c r="O117" s="13"/>
      <c r="P117" s="13"/>
      <c r="Q117" s="13"/>
      <c r="R117" s="13"/>
      <c r="S117" s="13"/>
      <c r="T117" s="13"/>
      <c r="U117" s="13"/>
      <c r="V117" s="13"/>
      <c r="W117" s="13"/>
      <c r="X117" s="13"/>
      <c r="Y117" s="13"/>
      <c r="Z117" s="13"/>
    </row>
    <row r="118" ht="15.75" customHeight="1">
      <c r="A118" s="13"/>
      <c r="B118" s="270" t="s">
        <v>293</v>
      </c>
      <c r="C118" s="281"/>
      <c r="D118" s="281"/>
      <c r="E118" s="282"/>
      <c r="F118" s="13"/>
      <c r="G118" s="13"/>
      <c r="H118" s="13"/>
      <c r="I118" s="13"/>
      <c r="J118" s="13"/>
      <c r="K118" s="13"/>
      <c r="L118" s="13"/>
      <c r="M118" s="13"/>
      <c r="N118" s="13"/>
      <c r="O118" s="13"/>
      <c r="P118" s="13"/>
      <c r="Q118" s="13"/>
      <c r="R118" s="13"/>
      <c r="S118" s="13"/>
      <c r="T118" s="13"/>
      <c r="U118" s="13"/>
      <c r="V118" s="13"/>
      <c r="W118" s="13"/>
      <c r="X118" s="13"/>
      <c r="Y118" s="13"/>
      <c r="Z118" s="13"/>
    </row>
    <row r="119" ht="15.75" customHeight="1">
      <c r="A119" s="13"/>
      <c r="B119" s="230" t="s">
        <v>293</v>
      </c>
      <c r="C119" s="272">
        <f>'Assumptions (P3)'!D90</f>
        <v>10000</v>
      </c>
      <c r="D119" s="273">
        <f>C119/unit_three</f>
        <v>151.5151515</v>
      </c>
      <c r="E119" s="274">
        <f>C119/egi_three</f>
        <v>0.01246049835</v>
      </c>
      <c r="F119" s="95"/>
      <c r="G119" s="13"/>
      <c r="H119" s="13"/>
      <c r="I119" s="13"/>
      <c r="J119" s="13"/>
      <c r="K119" s="13"/>
      <c r="L119" s="13"/>
      <c r="M119" s="13"/>
      <c r="N119" s="13"/>
      <c r="O119" s="13"/>
      <c r="P119" s="13"/>
      <c r="Q119" s="13"/>
      <c r="R119" s="13"/>
      <c r="S119" s="13"/>
      <c r="T119" s="13"/>
      <c r="U119" s="13"/>
      <c r="V119" s="13"/>
      <c r="W119" s="13"/>
      <c r="X119" s="13"/>
      <c r="Y119" s="13"/>
      <c r="Z119" s="13"/>
    </row>
    <row r="120" ht="15.75" customHeight="1">
      <c r="A120" s="13"/>
      <c r="B120" s="153" t="s">
        <v>295</v>
      </c>
      <c r="C120" s="272">
        <f>'Assumptions (P3)'!D91</f>
        <v>1000</v>
      </c>
      <c r="D120" s="273">
        <f>C120/unit_three</f>
        <v>15.15151515</v>
      </c>
      <c r="E120" s="274">
        <f>C120/egi_three</f>
        <v>0.001246049835</v>
      </c>
      <c r="F120" s="13"/>
      <c r="G120" s="13"/>
      <c r="H120" s="13"/>
      <c r="I120" s="13"/>
      <c r="J120" s="13"/>
      <c r="K120" s="13"/>
      <c r="L120" s="13"/>
      <c r="M120" s="13"/>
      <c r="N120" s="13"/>
      <c r="O120" s="13"/>
      <c r="P120" s="13"/>
      <c r="Q120" s="13"/>
      <c r="R120" s="13"/>
      <c r="S120" s="13"/>
      <c r="T120" s="13"/>
      <c r="U120" s="13"/>
      <c r="V120" s="13"/>
      <c r="W120" s="13"/>
      <c r="X120" s="13"/>
      <c r="Y120" s="13"/>
      <c r="Z120" s="13"/>
    </row>
    <row r="121" ht="15.75" customHeight="1">
      <c r="A121" s="13"/>
      <c r="B121" s="275" t="s">
        <v>296</v>
      </c>
      <c r="C121" s="276">
        <f>SUM(C119:C120)</f>
        <v>11000</v>
      </c>
      <c r="D121" s="276">
        <f>C121/unit_three</f>
        <v>166.6666667</v>
      </c>
      <c r="E121" s="277">
        <f>C121/egi_three</f>
        <v>0.01370654819</v>
      </c>
      <c r="F121" s="13"/>
      <c r="G121" s="13"/>
      <c r="H121" s="13"/>
      <c r="I121" s="13"/>
      <c r="J121" s="13"/>
      <c r="K121" s="13"/>
      <c r="L121" s="13"/>
      <c r="M121" s="13"/>
      <c r="N121" s="13"/>
      <c r="O121" s="13"/>
      <c r="P121" s="13"/>
      <c r="Q121" s="13"/>
      <c r="R121" s="13"/>
      <c r="S121" s="13"/>
      <c r="T121" s="13"/>
      <c r="U121" s="13"/>
      <c r="V121" s="13"/>
      <c r="W121" s="13"/>
      <c r="X121" s="13"/>
      <c r="Y121" s="13"/>
      <c r="Z121" s="13"/>
    </row>
    <row r="122" ht="15.75" customHeight="1">
      <c r="A122" s="13"/>
      <c r="B122" s="285"/>
      <c r="C122" s="286" t="s">
        <v>297</v>
      </c>
      <c r="D122" s="287" t="s">
        <v>297</v>
      </c>
      <c r="E122" s="288"/>
      <c r="F122" s="13"/>
      <c r="G122" s="13"/>
      <c r="H122" s="13"/>
      <c r="I122" s="13"/>
      <c r="J122" s="13"/>
      <c r="K122" s="13"/>
      <c r="L122" s="13"/>
      <c r="M122" s="13"/>
      <c r="N122" s="13"/>
      <c r="O122" s="13"/>
      <c r="P122" s="13"/>
      <c r="Q122" s="13"/>
      <c r="R122" s="13"/>
      <c r="S122" s="13"/>
      <c r="T122" s="13"/>
      <c r="U122" s="13"/>
      <c r="V122" s="13"/>
      <c r="W122" s="13"/>
      <c r="X122" s="13"/>
      <c r="Y122" s="13"/>
      <c r="Z122" s="13"/>
    </row>
    <row r="123" ht="15.75" customHeight="1">
      <c r="A123" s="13"/>
      <c r="B123" s="289" t="s">
        <v>298</v>
      </c>
      <c r="C123" s="290">
        <f>SUM(C88+C94+C106+C111+C116+C121)</f>
        <v>478646.4115</v>
      </c>
      <c r="D123" s="291">
        <f>C123/unit_three</f>
        <v>7252.218355</v>
      </c>
      <c r="E123" s="292">
        <f>C123/egi_three</f>
        <v>0.5964172821</v>
      </c>
      <c r="F123" s="95"/>
      <c r="G123" s="13"/>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230"/>
      <c r="C124" s="279"/>
      <c r="D124" s="293"/>
      <c r="E124" s="294"/>
      <c r="F124" s="13"/>
      <c r="G124" s="13"/>
      <c r="H124" s="13"/>
      <c r="I124" s="13"/>
      <c r="J124" s="13"/>
      <c r="K124" s="13"/>
      <c r="L124" s="13"/>
      <c r="M124" s="13"/>
      <c r="N124" s="13"/>
      <c r="O124" s="13"/>
      <c r="P124" s="13"/>
      <c r="Q124" s="13"/>
      <c r="R124" s="13"/>
      <c r="S124" s="13"/>
      <c r="T124" s="13"/>
      <c r="U124" s="13"/>
      <c r="V124" s="13"/>
      <c r="W124" s="13"/>
      <c r="X124" s="13"/>
      <c r="Y124" s="13"/>
      <c r="Z124" s="13"/>
    </row>
    <row r="125" ht="15.75" customHeight="1">
      <c r="A125" s="13"/>
      <c r="B125" s="295" t="s">
        <v>141</v>
      </c>
      <c r="C125" s="296">
        <f>unit_three*'Assumptions (P3)'!D94</f>
        <v>19800</v>
      </c>
      <c r="D125" s="297">
        <f>C125/unit_three</f>
        <v>300</v>
      </c>
      <c r="E125" s="277">
        <f>C125/egi_three</f>
        <v>0.02467178674</v>
      </c>
      <c r="F125" s="13"/>
      <c r="G125" s="13"/>
      <c r="H125" s="13"/>
      <c r="I125" s="13"/>
      <c r="J125" s="13"/>
      <c r="K125" s="13"/>
      <c r="L125" s="13"/>
      <c r="M125" s="13"/>
      <c r="N125" s="13"/>
      <c r="O125" s="13"/>
      <c r="P125" s="13"/>
      <c r="Q125" s="13"/>
      <c r="R125" s="13"/>
      <c r="S125" s="13"/>
      <c r="T125" s="13"/>
      <c r="U125" s="13"/>
      <c r="V125" s="13"/>
      <c r="W125" s="13"/>
      <c r="X125" s="13"/>
      <c r="Y125" s="13"/>
      <c r="Z125" s="13"/>
    </row>
    <row r="126" ht="15.75" customHeight="1">
      <c r="A126" s="13"/>
      <c r="B126" s="298"/>
      <c r="C126" s="299"/>
      <c r="D126" s="300"/>
      <c r="E126" s="301"/>
      <c r="F126" s="13"/>
      <c r="G126" s="13"/>
      <c r="H126" s="13"/>
      <c r="I126" s="13"/>
      <c r="J126" s="13"/>
      <c r="K126" s="13"/>
      <c r="L126" s="13"/>
      <c r="M126" s="13"/>
      <c r="N126" s="13"/>
      <c r="O126" s="13"/>
      <c r="P126" s="13"/>
      <c r="Q126" s="13"/>
      <c r="R126" s="13"/>
      <c r="S126" s="13"/>
      <c r="T126" s="13"/>
      <c r="U126" s="13"/>
      <c r="V126" s="13"/>
      <c r="W126" s="13"/>
      <c r="X126" s="13"/>
      <c r="Y126" s="13"/>
      <c r="Z126" s="13"/>
    </row>
    <row r="127" ht="30.75" customHeight="1">
      <c r="A127" s="13"/>
      <c r="B127" s="302" t="s">
        <v>299</v>
      </c>
      <c r="C127" s="303">
        <f>C123+C125</f>
        <v>498446.4115</v>
      </c>
      <c r="D127" s="304">
        <f>totalopex_three/unit_three</f>
        <v>7552.218355</v>
      </c>
      <c r="E127" s="305">
        <f>C127/egi_three</f>
        <v>0.6210890688</v>
      </c>
      <c r="F127" s="13"/>
      <c r="G127" s="13"/>
      <c r="H127" s="13"/>
      <c r="I127" s="13"/>
      <c r="J127" s="13"/>
      <c r="K127" s="13"/>
      <c r="L127" s="13"/>
      <c r="M127" s="13"/>
      <c r="N127" s="13"/>
      <c r="O127" s="13"/>
      <c r="P127" s="13"/>
      <c r="Q127" s="13"/>
      <c r="R127" s="13"/>
      <c r="S127" s="13"/>
      <c r="T127" s="13"/>
      <c r="U127" s="13"/>
      <c r="V127" s="13"/>
      <c r="W127" s="13"/>
      <c r="X127" s="13"/>
      <c r="Y127" s="13"/>
      <c r="Z127" s="13"/>
    </row>
    <row r="128"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5.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5.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5.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5.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5.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5.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5.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5.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5.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5.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5.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5.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5.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5.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5.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5.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5.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5.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5.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5.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5.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5.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5.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5.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5.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5.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5.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5.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5.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5.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5.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5.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5.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5.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5.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5.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5.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5.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5.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5.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5.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5.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5.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5.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5.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5.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5.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5.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5.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5.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5.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5.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5.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5.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5.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5.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5.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5.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5.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5.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5.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5.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5.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5.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5.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5.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5.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5.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5.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5.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5.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5.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5.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5.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5.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5.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5.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5.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5.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5.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5.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5.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5.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5.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5.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5.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5.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5.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2:H2"/>
    <mergeCell ref="B8:H8"/>
    <mergeCell ref="B78:H78"/>
  </mergeCells>
  <printOptions/>
  <pageMargins bottom="0.75" footer="0.0" header="0.0" left="0.7" right="0.7" top="0.75"/>
  <pageSetup orientation="portrait"/>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7CAAC"/>
    <pageSetUpPr/>
  </sheetPr>
  <sheetViews>
    <sheetView workbookViewId="0"/>
  </sheetViews>
  <sheetFormatPr customHeight="1" defaultColWidth="12.63" defaultRowHeight="15.0"/>
  <cols>
    <col customWidth="1" min="1" max="1" width="2.63"/>
    <col customWidth="1" min="2" max="2" width="8.0"/>
    <col customWidth="1" min="3" max="3" width="30.38"/>
    <col customWidth="1" min="4" max="4" width="5.13"/>
    <col customWidth="1" min="5" max="14" width="12.88"/>
    <col customWidth="1" min="15" max="15" width="2.63"/>
    <col customWidth="1" min="16" max="17" width="12.88"/>
    <col customWidth="1" min="18" max="27" width="8.0"/>
  </cols>
  <sheetData>
    <row r="1" ht="9.0" customHeight="1">
      <c r="A1" s="13"/>
      <c r="B1" s="13"/>
      <c r="C1" s="13"/>
      <c r="D1" s="13"/>
      <c r="E1" s="13"/>
      <c r="F1" s="13"/>
      <c r="G1" s="13"/>
      <c r="H1" s="13"/>
      <c r="I1" s="13"/>
      <c r="J1" s="13"/>
      <c r="K1" s="13"/>
      <c r="L1" s="13"/>
      <c r="M1" s="13"/>
      <c r="N1" s="13"/>
      <c r="O1" s="13"/>
      <c r="P1" s="13"/>
      <c r="Q1" s="13"/>
      <c r="R1" s="13"/>
      <c r="S1" s="13"/>
      <c r="T1" s="13"/>
      <c r="U1" s="13"/>
      <c r="V1" s="13"/>
      <c r="W1" s="13"/>
      <c r="X1" s="13"/>
      <c r="Y1" s="13"/>
      <c r="Z1" s="13"/>
      <c r="AA1" s="13"/>
    </row>
    <row r="2">
      <c r="A2" s="13"/>
      <c r="B2" s="36" t="s">
        <v>300</v>
      </c>
      <c r="C2" s="37"/>
      <c r="D2" s="37"/>
      <c r="E2" s="37"/>
      <c r="F2" s="37"/>
      <c r="G2" s="37"/>
      <c r="H2" s="37"/>
      <c r="I2" s="37"/>
      <c r="J2" s="13"/>
      <c r="K2" s="39" t="s">
        <v>44</v>
      </c>
      <c r="L2" s="39"/>
      <c r="M2" s="13"/>
      <c r="N2" s="13"/>
      <c r="O2" s="13"/>
      <c r="P2" s="13"/>
      <c r="Q2" s="13"/>
      <c r="R2" s="13"/>
      <c r="S2" s="13"/>
      <c r="T2" s="13"/>
      <c r="U2" s="13"/>
      <c r="V2" s="13"/>
      <c r="W2" s="13"/>
      <c r="X2" s="13"/>
      <c r="Y2" s="13"/>
      <c r="Z2" s="13"/>
      <c r="AA2" s="13"/>
    </row>
    <row r="3">
      <c r="A3" s="13"/>
      <c r="B3" s="13"/>
      <c r="C3" s="13"/>
      <c r="D3" s="13"/>
      <c r="E3" s="13"/>
      <c r="F3" s="13"/>
      <c r="G3" s="13"/>
      <c r="H3" s="13"/>
      <c r="I3" s="13"/>
      <c r="J3" s="13"/>
      <c r="K3" s="13"/>
      <c r="L3" s="13"/>
      <c r="M3" s="13"/>
      <c r="N3" s="13"/>
      <c r="O3" s="13"/>
      <c r="P3" s="13"/>
      <c r="Q3" s="13"/>
      <c r="R3" s="13"/>
      <c r="S3" s="13"/>
      <c r="T3" s="13"/>
      <c r="U3" s="13"/>
      <c r="V3" s="13"/>
      <c r="W3" s="13"/>
      <c r="X3" s="13"/>
      <c r="Y3" s="13"/>
      <c r="Z3" s="13"/>
      <c r="AA3" s="13"/>
    </row>
    <row r="4">
      <c r="A4" s="306"/>
      <c r="B4" s="306"/>
      <c r="C4" s="307" t="s">
        <v>301</v>
      </c>
      <c r="D4" s="308"/>
      <c r="E4" s="309"/>
      <c r="F4" s="306"/>
      <c r="G4" s="306"/>
      <c r="H4" s="306"/>
      <c r="I4" s="306"/>
      <c r="J4" s="306"/>
      <c r="K4" s="306"/>
      <c r="L4" s="306"/>
      <c r="M4" s="306"/>
      <c r="N4" s="306"/>
      <c r="O4" s="306"/>
      <c r="P4" s="306"/>
      <c r="Q4" s="306"/>
      <c r="R4" s="306"/>
      <c r="S4" s="306"/>
      <c r="T4" s="306"/>
      <c r="U4" s="306"/>
      <c r="V4" s="306"/>
      <c r="W4" s="306"/>
      <c r="X4" s="306"/>
      <c r="Y4" s="306"/>
      <c r="Z4" s="306"/>
      <c r="AA4" s="306"/>
    </row>
    <row r="5">
      <c r="A5" s="306"/>
      <c r="B5" s="306"/>
      <c r="C5" s="259" t="str">
        <f>'Income &amp; Expenses (P3)'!B66</f>
        <v>Residential Vacancy Rate &amp; Credit Loss</v>
      </c>
      <c r="D5" s="258"/>
      <c r="E5" s="310">
        <f>'Income &amp; Expenses (P3)'!C66</f>
        <v>0.07</v>
      </c>
      <c r="F5" s="311" t="s">
        <v>302</v>
      </c>
      <c r="G5" s="306"/>
      <c r="H5" s="306"/>
      <c r="I5" s="306"/>
      <c r="J5" s="306"/>
      <c r="K5" s="306"/>
      <c r="L5" s="306"/>
      <c r="M5" s="306"/>
      <c r="N5" s="306"/>
      <c r="O5" s="306"/>
      <c r="P5" s="306"/>
      <c r="Q5" s="306"/>
      <c r="R5" s="306"/>
      <c r="S5" s="306"/>
      <c r="T5" s="306"/>
      <c r="U5" s="306"/>
      <c r="V5" s="306"/>
      <c r="W5" s="306"/>
      <c r="X5" s="306"/>
      <c r="Y5" s="306"/>
      <c r="Z5" s="306"/>
      <c r="AA5" s="306"/>
    </row>
    <row r="6">
      <c r="A6" s="306"/>
      <c r="B6" s="306"/>
      <c r="C6" s="259" t="str">
        <f>'Income &amp; Expenses (P3)'!B70</f>
        <v>Commercial Vacancy Rate</v>
      </c>
      <c r="D6" s="258"/>
      <c r="E6" s="310">
        <f>'Income &amp; Expenses (P3)'!C70</f>
        <v>0</v>
      </c>
      <c r="F6" s="311" t="s">
        <v>302</v>
      </c>
      <c r="G6" s="306"/>
      <c r="H6" s="306"/>
      <c r="I6" s="306"/>
      <c r="J6" s="306"/>
      <c r="K6" s="306"/>
      <c r="L6" s="306"/>
      <c r="M6" s="306"/>
      <c r="N6" s="306"/>
      <c r="O6" s="306"/>
      <c r="P6" s="306"/>
      <c r="Q6" s="306"/>
      <c r="R6" s="306"/>
      <c r="S6" s="306"/>
      <c r="T6" s="306"/>
      <c r="U6" s="306"/>
      <c r="V6" s="306"/>
      <c r="W6" s="306"/>
      <c r="X6" s="306"/>
      <c r="Y6" s="306"/>
      <c r="Z6" s="306"/>
      <c r="AA6" s="306"/>
    </row>
    <row r="7">
      <c r="A7" s="306"/>
      <c r="B7" s="306"/>
      <c r="C7" s="259" t="s">
        <v>303</v>
      </c>
      <c r="D7" s="258"/>
      <c r="E7" s="312">
        <v>0.02</v>
      </c>
      <c r="F7" s="306"/>
      <c r="G7" s="306"/>
      <c r="H7" s="306"/>
      <c r="I7" s="306"/>
      <c r="J7" s="306"/>
      <c r="K7" s="306"/>
      <c r="L7" s="306"/>
      <c r="M7" s="306"/>
      <c r="N7" s="306"/>
      <c r="O7" s="306"/>
      <c r="P7" s="306"/>
      <c r="Q7" s="306"/>
      <c r="R7" s="306"/>
      <c r="S7" s="306"/>
      <c r="T7" s="306"/>
      <c r="U7" s="306"/>
      <c r="V7" s="306"/>
      <c r="W7" s="306"/>
      <c r="X7" s="306"/>
      <c r="Y7" s="306"/>
      <c r="Z7" s="306"/>
      <c r="AA7" s="306"/>
    </row>
    <row r="8">
      <c r="A8" s="306"/>
      <c r="B8" s="306"/>
      <c r="C8" s="259" t="s">
        <v>304</v>
      </c>
      <c r="D8" s="258"/>
      <c r="E8" s="312">
        <v>0.02</v>
      </c>
      <c r="F8" s="306"/>
      <c r="G8" s="306"/>
      <c r="H8" s="306"/>
      <c r="I8" s="306"/>
      <c r="J8" s="306"/>
      <c r="K8" s="306"/>
      <c r="L8" s="306"/>
      <c r="M8" s="306"/>
      <c r="N8" s="306"/>
      <c r="O8" s="306"/>
      <c r="P8" s="306"/>
      <c r="Q8" s="306"/>
      <c r="R8" s="306"/>
      <c r="S8" s="306"/>
      <c r="T8" s="306"/>
      <c r="U8" s="306"/>
      <c r="V8" s="306"/>
      <c r="W8" s="306"/>
      <c r="X8" s="306"/>
      <c r="Y8" s="306"/>
      <c r="Z8" s="306"/>
      <c r="AA8" s="306"/>
    </row>
    <row r="9">
      <c r="A9" s="306"/>
      <c r="B9" s="306"/>
      <c r="C9" s="259" t="s">
        <v>305</v>
      </c>
      <c r="D9" s="258"/>
      <c r="E9" s="312">
        <v>0.03</v>
      </c>
      <c r="F9" s="306"/>
      <c r="G9" s="306"/>
      <c r="H9" s="306"/>
      <c r="I9" s="306"/>
      <c r="J9" s="306"/>
      <c r="K9" s="306"/>
      <c r="L9" s="306"/>
      <c r="M9" s="306"/>
      <c r="N9" s="306"/>
      <c r="O9" s="306"/>
      <c r="P9" s="306"/>
      <c r="Q9" s="306"/>
      <c r="R9" s="306"/>
      <c r="S9" s="306"/>
      <c r="T9" s="306"/>
      <c r="U9" s="306"/>
      <c r="V9" s="306"/>
      <c r="W9" s="306"/>
      <c r="X9" s="306"/>
      <c r="Y9" s="306"/>
      <c r="Z9" s="306"/>
      <c r="AA9" s="306"/>
    </row>
    <row r="10">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row>
    <row r="11" ht="15.75" customHeight="1">
      <c r="A11" s="13"/>
      <c r="B11" s="13"/>
      <c r="C11" s="174"/>
      <c r="D11" s="313"/>
      <c r="E11" s="314" t="s">
        <v>306</v>
      </c>
      <c r="F11" s="314" t="s">
        <v>307</v>
      </c>
      <c r="G11" s="314" t="s">
        <v>308</v>
      </c>
      <c r="H11" s="314" t="s">
        <v>309</v>
      </c>
      <c r="I11" s="314" t="s">
        <v>310</v>
      </c>
      <c r="J11" s="314" t="s">
        <v>311</v>
      </c>
      <c r="K11" s="314" t="s">
        <v>312</v>
      </c>
      <c r="L11" s="314" t="s">
        <v>313</v>
      </c>
      <c r="M11" s="314" t="s">
        <v>314</v>
      </c>
      <c r="N11" s="315" t="s">
        <v>315</v>
      </c>
      <c r="O11" s="200"/>
      <c r="P11" s="316" t="s">
        <v>316</v>
      </c>
      <c r="Q11" s="315" t="s">
        <v>317</v>
      </c>
      <c r="R11" s="13"/>
      <c r="S11" s="13"/>
      <c r="T11" s="13"/>
      <c r="U11" s="13"/>
      <c r="V11" s="13"/>
      <c r="W11" s="13"/>
      <c r="X11" s="13"/>
      <c r="Y11" s="13"/>
      <c r="Z11" s="13"/>
      <c r="AA11" s="13"/>
    </row>
    <row r="12">
      <c r="A12" s="13"/>
      <c r="B12" s="317" t="s">
        <v>318</v>
      </c>
      <c r="C12" s="318" t="str">
        <f>'Income &amp; Expenses (P3)'!B65</f>
        <v>Potential Gross Rental Revenue</v>
      </c>
      <c r="D12" s="319"/>
      <c r="E12" s="320">
        <f>'Income &amp; Expenses (P3)'!H38</f>
        <v>858684</v>
      </c>
      <c r="F12" s="320">
        <f t="shared" ref="F12:N12" si="1">E12*(1+$E$7)</f>
        <v>875857.68</v>
      </c>
      <c r="G12" s="320">
        <f t="shared" si="1"/>
        <v>893374.8336</v>
      </c>
      <c r="H12" s="320">
        <f t="shared" si="1"/>
        <v>911242.3303</v>
      </c>
      <c r="I12" s="320">
        <f t="shared" si="1"/>
        <v>929467.1769</v>
      </c>
      <c r="J12" s="320">
        <f t="shared" si="1"/>
        <v>948056.5204</v>
      </c>
      <c r="K12" s="320">
        <f t="shared" si="1"/>
        <v>967017.6508</v>
      </c>
      <c r="L12" s="320">
        <f t="shared" si="1"/>
        <v>986358.0038</v>
      </c>
      <c r="M12" s="320">
        <f t="shared" si="1"/>
        <v>1006085.164</v>
      </c>
      <c r="N12" s="321">
        <f t="shared" si="1"/>
        <v>1026206.867</v>
      </c>
      <c r="O12" s="322"/>
      <c r="P12" s="323">
        <f>N12*(1+$E$7)^5</f>
        <v>1133015.302</v>
      </c>
      <c r="Q12" s="321">
        <f>N12*(1+$E$7)^10</f>
        <v>1250940.445</v>
      </c>
      <c r="R12" s="13"/>
      <c r="S12" s="13"/>
      <c r="T12" s="13"/>
      <c r="U12" s="13"/>
      <c r="V12" s="13"/>
      <c r="W12" s="13"/>
      <c r="X12" s="13"/>
      <c r="Y12" s="13"/>
      <c r="Z12" s="13"/>
      <c r="AA12" s="13"/>
    </row>
    <row r="13">
      <c r="A13" s="13"/>
      <c r="B13" s="168"/>
      <c r="C13" s="230" t="str">
        <f>'Income &amp; Expenses (P3)'!B66</f>
        <v>Residential Vacancy Rate &amp; Credit Loss</v>
      </c>
      <c r="D13" s="13"/>
      <c r="E13" s="322">
        <f>'Income &amp; Expenses (P3)'!D66</f>
        <v>-60107.88</v>
      </c>
      <c r="F13" s="322">
        <f t="shared" ref="F13:N13" si="2">-F12*$E$5</f>
        <v>-61310.0376</v>
      </c>
      <c r="G13" s="322">
        <f t="shared" si="2"/>
        <v>-62536.23835</v>
      </c>
      <c r="H13" s="322">
        <f t="shared" si="2"/>
        <v>-63786.96312</v>
      </c>
      <c r="I13" s="322">
        <f t="shared" si="2"/>
        <v>-65062.70238</v>
      </c>
      <c r="J13" s="322">
        <f t="shared" si="2"/>
        <v>-66363.95643</v>
      </c>
      <c r="K13" s="322">
        <f t="shared" si="2"/>
        <v>-67691.23556</v>
      </c>
      <c r="L13" s="322">
        <f t="shared" si="2"/>
        <v>-69045.06027</v>
      </c>
      <c r="M13" s="322">
        <f t="shared" si="2"/>
        <v>-70425.96147</v>
      </c>
      <c r="N13" s="325">
        <f t="shared" si="2"/>
        <v>-71834.4807</v>
      </c>
      <c r="O13" s="322"/>
      <c r="P13" s="324">
        <f t="shared" ref="P13:Q13" si="3">-P12*$E$5</f>
        <v>-79311.07115</v>
      </c>
      <c r="Q13" s="325">
        <f t="shared" si="3"/>
        <v>-87565.83114</v>
      </c>
      <c r="R13" s="13"/>
      <c r="S13" s="13"/>
      <c r="T13" s="13"/>
      <c r="U13" s="13"/>
      <c r="V13" s="13"/>
      <c r="W13" s="13"/>
      <c r="X13" s="13"/>
      <c r="Y13" s="13"/>
      <c r="Z13" s="13"/>
      <c r="AA13" s="13"/>
    </row>
    <row r="14">
      <c r="A14" s="13"/>
      <c r="B14" s="168"/>
      <c r="C14" s="172" t="s">
        <v>319</v>
      </c>
      <c r="D14" s="326"/>
      <c r="E14" s="327">
        <f t="shared" ref="E14:N14" si="4">SUM(E12:E13)</f>
        <v>798576.12</v>
      </c>
      <c r="F14" s="327">
        <f t="shared" si="4"/>
        <v>814547.6424</v>
      </c>
      <c r="G14" s="327">
        <f t="shared" si="4"/>
        <v>830838.5952</v>
      </c>
      <c r="H14" s="327">
        <f t="shared" si="4"/>
        <v>847455.3672</v>
      </c>
      <c r="I14" s="327">
        <f t="shared" si="4"/>
        <v>864404.4745</v>
      </c>
      <c r="J14" s="327">
        <f t="shared" si="4"/>
        <v>881692.564</v>
      </c>
      <c r="K14" s="327">
        <f t="shared" si="4"/>
        <v>899326.4153</v>
      </c>
      <c r="L14" s="327">
        <f t="shared" si="4"/>
        <v>917312.9436</v>
      </c>
      <c r="M14" s="327">
        <f t="shared" si="4"/>
        <v>935659.2024</v>
      </c>
      <c r="N14" s="328">
        <f t="shared" si="4"/>
        <v>954372.3865</v>
      </c>
      <c r="O14" s="322"/>
      <c r="P14" s="329">
        <f t="shared" ref="P14:Q14" si="5">SUM(P12:P13)</f>
        <v>1053704.231</v>
      </c>
      <c r="Q14" s="328">
        <f t="shared" si="5"/>
        <v>1163374.614</v>
      </c>
      <c r="R14" s="13"/>
      <c r="S14" s="13"/>
      <c r="T14" s="13"/>
      <c r="U14" s="13"/>
      <c r="V14" s="13"/>
      <c r="W14" s="13"/>
      <c r="X14" s="13"/>
      <c r="Y14" s="13"/>
      <c r="Z14" s="13"/>
      <c r="AA14" s="13"/>
    </row>
    <row r="15">
      <c r="A15" s="13"/>
      <c r="B15" s="168"/>
      <c r="C15" s="230"/>
      <c r="D15" s="13"/>
      <c r="E15" s="322"/>
      <c r="F15" s="322"/>
      <c r="G15" s="322"/>
      <c r="H15" s="322"/>
      <c r="I15" s="322"/>
      <c r="J15" s="322"/>
      <c r="K15" s="322"/>
      <c r="L15" s="322"/>
      <c r="M15" s="322"/>
      <c r="N15" s="325"/>
      <c r="O15" s="322"/>
      <c r="P15" s="324"/>
      <c r="Q15" s="325"/>
      <c r="R15" s="13"/>
      <c r="S15" s="13"/>
      <c r="T15" s="13"/>
      <c r="U15" s="13"/>
      <c r="V15" s="13"/>
      <c r="W15" s="13"/>
      <c r="X15" s="13"/>
      <c r="Y15" s="13"/>
      <c r="Z15" s="13"/>
      <c r="AA15" s="13"/>
    </row>
    <row r="16">
      <c r="A16" s="13"/>
      <c r="B16" s="168"/>
      <c r="C16" s="230" t="str">
        <f>'Income &amp; Expenses (P3)'!B69</f>
        <v>Potential Gross Commercial Revenue</v>
      </c>
      <c r="D16" s="13"/>
      <c r="E16" s="330">
        <f>'Income &amp; Expenses (P3)'!D69</f>
        <v>0</v>
      </c>
      <c r="F16" s="322">
        <f t="shared" ref="F16:N16" si="6">E16*(1+$E$8)</f>
        <v>0</v>
      </c>
      <c r="G16" s="322">
        <f t="shared" si="6"/>
        <v>0</v>
      </c>
      <c r="H16" s="322">
        <f t="shared" si="6"/>
        <v>0</v>
      </c>
      <c r="I16" s="322">
        <f t="shared" si="6"/>
        <v>0</v>
      </c>
      <c r="J16" s="322">
        <f t="shared" si="6"/>
        <v>0</v>
      </c>
      <c r="K16" s="322">
        <f t="shared" si="6"/>
        <v>0</v>
      </c>
      <c r="L16" s="322">
        <f t="shared" si="6"/>
        <v>0</v>
      </c>
      <c r="M16" s="322">
        <f t="shared" si="6"/>
        <v>0</v>
      </c>
      <c r="N16" s="325">
        <f t="shared" si="6"/>
        <v>0</v>
      </c>
      <c r="O16" s="322"/>
      <c r="P16" s="324">
        <f>N16*(1+$E$8)^5</f>
        <v>0</v>
      </c>
      <c r="Q16" s="325">
        <f>N16*(1+$E$8)^10</f>
        <v>0</v>
      </c>
      <c r="R16" s="13"/>
      <c r="S16" s="13"/>
      <c r="T16" s="13"/>
      <c r="U16" s="13"/>
      <c r="V16" s="13"/>
      <c r="W16" s="13"/>
      <c r="X16" s="13"/>
      <c r="Y16" s="13"/>
      <c r="Z16" s="13"/>
      <c r="AA16" s="13"/>
    </row>
    <row r="17">
      <c r="A17" s="13"/>
      <c r="B17" s="168"/>
      <c r="C17" s="230" t="str">
        <f>'Income &amp; Expenses (P3)'!B70</f>
        <v>Commercial Vacancy Rate</v>
      </c>
      <c r="D17" s="13"/>
      <c r="E17" s="330">
        <f>'Income &amp; Expenses (P3)'!D70</f>
        <v>0</v>
      </c>
      <c r="F17" s="330">
        <f t="shared" ref="F17:N17" si="7">F16*$E$6</f>
        <v>0</v>
      </c>
      <c r="G17" s="330">
        <f t="shared" si="7"/>
        <v>0</v>
      </c>
      <c r="H17" s="330">
        <f t="shared" si="7"/>
        <v>0</v>
      </c>
      <c r="I17" s="330">
        <f t="shared" si="7"/>
        <v>0</v>
      </c>
      <c r="J17" s="330">
        <f t="shared" si="7"/>
        <v>0</v>
      </c>
      <c r="K17" s="330">
        <f t="shared" si="7"/>
        <v>0</v>
      </c>
      <c r="L17" s="330">
        <f t="shared" si="7"/>
        <v>0</v>
      </c>
      <c r="M17" s="330">
        <f t="shared" si="7"/>
        <v>0</v>
      </c>
      <c r="N17" s="331">
        <f t="shared" si="7"/>
        <v>0</v>
      </c>
      <c r="O17" s="322"/>
      <c r="P17" s="332">
        <f t="shared" ref="P17:Q17" si="8">P16*$E$6</f>
        <v>0</v>
      </c>
      <c r="Q17" s="331">
        <f t="shared" si="8"/>
        <v>0</v>
      </c>
      <c r="R17" s="13"/>
      <c r="S17" s="13"/>
      <c r="T17" s="13"/>
      <c r="U17" s="13"/>
      <c r="V17" s="13"/>
      <c r="W17" s="13"/>
      <c r="X17" s="13"/>
      <c r="Y17" s="13"/>
      <c r="Z17" s="13"/>
      <c r="AA17" s="13"/>
    </row>
    <row r="18">
      <c r="A18" s="13"/>
      <c r="B18" s="168"/>
      <c r="C18" s="172" t="s">
        <v>320</v>
      </c>
      <c r="D18" s="326"/>
      <c r="E18" s="327">
        <f t="shared" ref="E18:N18" si="9">SUM(E16:E17)</f>
        <v>0</v>
      </c>
      <c r="F18" s="327">
        <f t="shared" si="9"/>
        <v>0</v>
      </c>
      <c r="G18" s="327">
        <f t="shared" si="9"/>
        <v>0</v>
      </c>
      <c r="H18" s="327">
        <f t="shared" si="9"/>
        <v>0</v>
      </c>
      <c r="I18" s="327">
        <f t="shared" si="9"/>
        <v>0</v>
      </c>
      <c r="J18" s="327">
        <f t="shared" si="9"/>
        <v>0</v>
      </c>
      <c r="K18" s="327">
        <f t="shared" si="9"/>
        <v>0</v>
      </c>
      <c r="L18" s="327">
        <f t="shared" si="9"/>
        <v>0</v>
      </c>
      <c r="M18" s="327">
        <f t="shared" si="9"/>
        <v>0</v>
      </c>
      <c r="N18" s="328">
        <f t="shared" si="9"/>
        <v>0</v>
      </c>
      <c r="O18" s="322"/>
      <c r="P18" s="329">
        <f t="shared" ref="P18:Q18" si="10">SUM(P16:P17)</f>
        <v>0</v>
      </c>
      <c r="Q18" s="328">
        <f t="shared" si="10"/>
        <v>0</v>
      </c>
      <c r="R18" s="13"/>
      <c r="S18" s="13"/>
      <c r="T18" s="13"/>
      <c r="U18" s="13"/>
      <c r="V18" s="13"/>
      <c r="W18" s="13"/>
      <c r="X18" s="13"/>
      <c r="Y18" s="13"/>
      <c r="Z18" s="13"/>
      <c r="AA18" s="13"/>
    </row>
    <row r="19">
      <c r="A19" s="13"/>
      <c r="B19" s="168"/>
      <c r="C19" s="230"/>
      <c r="D19" s="13"/>
      <c r="E19" s="322"/>
      <c r="F19" s="322"/>
      <c r="G19" s="322"/>
      <c r="H19" s="322"/>
      <c r="I19" s="322"/>
      <c r="J19" s="322"/>
      <c r="K19" s="322"/>
      <c r="L19" s="322"/>
      <c r="M19" s="322"/>
      <c r="N19" s="325"/>
      <c r="O19" s="322"/>
      <c r="P19" s="324"/>
      <c r="Q19" s="325"/>
      <c r="R19" s="13"/>
      <c r="S19" s="13"/>
      <c r="T19" s="13"/>
      <c r="U19" s="13"/>
      <c r="V19" s="13"/>
      <c r="W19" s="13"/>
      <c r="X19" s="13"/>
      <c r="Y19" s="13"/>
      <c r="Z19" s="13"/>
      <c r="AA19" s="13"/>
    </row>
    <row r="20">
      <c r="A20" s="13"/>
      <c r="B20" s="168"/>
      <c r="C20" s="230" t="s">
        <v>321</v>
      </c>
      <c r="D20" s="13"/>
      <c r="E20" s="322">
        <f>'Income &amp; Expenses (P3)'!F48</f>
        <v>3960</v>
      </c>
      <c r="F20" s="322">
        <f t="shared" ref="F20:N20" si="11">E20*(1+$E$7)</f>
        <v>4039.2</v>
      </c>
      <c r="G20" s="322">
        <f t="shared" si="11"/>
        <v>4119.984</v>
      </c>
      <c r="H20" s="322">
        <f t="shared" si="11"/>
        <v>4202.38368</v>
      </c>
      <c r="I20" s="322">
        <f t="shared" si="11"/>
        <v>4286.431354</v>
      </c>
      <c r="J20" s="322">
        <f t="shared" si="11"/>
        <v>4372.159981</v>
      </c>
      <c r="K20" s="322">
        <f t="shared" si="11"/>
        <v>4459.60318</v>
      </c>
      <c r="L20" s="322">
        <f t="shared" si="11"/>
        <v>4548.795244</v>
      </c>
      <c r="M20" s="322">
        <f t="shared" si="11"/>
        <v>4639.771149</v>
      </c>
      <c r="N20" s="325">
        <f t="shared" si="11"/>
        <v>4732.566572</v>
      </c>
      <c r="O20" s="322"/>
      <c r="P20" s="324">
        <f>N20*(1+$E$7)^5</f>
        <v>5225.135902</v>
      </c>
      <c r="Q20" s="325">
        <f>N20*(1+$E$7)^10</f>
        <v>5768.972243</v>
      </c>
      <c r="R20" s="13"/>
      <c r="S20" s="13"/>
      <c r="T20" s="13"/>
      <c r="U20" s="13"/>
      <c r="V20" s="13"/>
      <c r="W20" s="13"/>
      <c r="X20" s="13"/>
      <c r="Y20" s="13"/>
      <c r="Z20" s="13"/>
      <c r="AA20" s="13"/>
    </row>
    <row r="21" ht="15.75" customHeight="1">
      <c r="A21" s="13"/>
      <c r="B21" s="168"/>
      <c r="C21" s="285"/>
      <c r="D21" s="333"/>
      <c r="E21" s="334"/>
      <c r="F21" s="334"/>
      <c r="G21" s="334"/>
      <c r="H21" s="334"/>
      <c r="I21" s="334"/>
      <c r="J21" s="334"/>
      <c r="K21" s="334"/>
      <c r="L21" s="334"/>
      <c r="M21" s="334"/>
      <c r="N21" s="335"/>
      <c r="O21" s="322"/>
      <c r="P21" s="336"/>
      <c r="Q21" s="335"/>
      <c r="R21" s="13"/>
      <c r="S21" s="13"/>
      <c r="T21" s="13"/>
      <c r="U21" s="13"/>
      <c r="V21" s="13"/>
      <c r="W21" s="13"/>
      <c r="X21" s="13"/>
      <c r="Y21" s="13"/>
      <c r="Z21" s="13"/>
      <c r="AA21" s="13"/>
    </row>
    <row r="22" ht="15.75" customHeight="1">
      <c r="A22" s="13"/>
      <c r="B22" s="171"/>
      <c r="C22" s="337" t="s">
        <v>322</v>
      </c>
      <c r="D22" s="21"/>
      <c r="E22" s="338">
        <f t="shared" ref="E22:N22" si="12">E14+E18+E20</f>
        <v>802536.12</v>
      </c>
      <c r="F22" s="338">
        <f t="shared" si="12"/>
        <v>818586.8424</v>
      </c>
      <c r="G22" s="338">
        <f t="shared" si="12"/>
        <v>834958.5792</v>
      </c>
      <c r="H22" s="338">
        <f t="shared" si="12"/>
        <v>851657.7508</v>
      </c>
      <c r="I22" s="338">
        <f t="shared" si="12"/>
        <v>868690.9058</v>
      </c>
      <c r="J22" s="338">
        <f t="shared" si="12"/>
        <v>886064.724</v>
      </c>
      <c r="K22" s="338">
        <f t="shared" si="12"/>
        <v>903786.0184</v>
      </c>
      <c r="L22" s="338">
        <f t="shared" si="12"/>
        <v>921861.7388</v>
      </c>
      <c r="M22" s="338">
        <f t="shared" si="12"/>
        <v>940298.9736</v>
      </c>
      <c r="N22" s="339">
        <f t="shared" si="12"/>
        <v>959104.9531</v>
      </c>
      <c r="O22" s="340"/>
      <c r="P22" s="341">
        <f t="shared" ref="P22:Q22" si="13">P14+P18+P20</f>
        <v>1058929.367</v>
      </c>
      <c r="Q22" s="339">
        <f t="shared" si="13"/>
        <v>1169143.586</v>
      </c>
      <c r="R22" s="13"/>
      <c r="S22" s="13"/>
      <c r="T22" s="13"/>
      <c r="U22" s="13"/>
      <c r="V22" s="13"/>
      <c r="W22" s="13"/>
      <c r="X22" s="13"/>
      <c r="Y22" s="13"/>
      <c r="Z22" s="13"/>
      <c r="AA22" s="13"/>
    </row>
    <row r="23" ht="15.75" customHeight="1">
      <c r="A23" s="13"/>
      <c r="B23" s="13"/>
      <c r="C23" s="13"/>
      <c r="D23" s="13"/>
      <c r="E23" s="322"/>
      <c r="F23" s="322"/>
      <c r="G23" s="322"/>
      <c r="H23" s="322"/>
      <c r="I23" s="322"/>
      <c r="J23" s="322"/>
      <c r="K23" s="322"/>
      <c r="L23" s="322"/>
      <c r="M23" s="322"/>
      <c r="N23" s="322"/>
      <c r="O23" s="322"/>
      <c r="P23" s="322"/>
      <c r="Q23" s="322"/>
      <c r="R23" s="13"/>
      <c r="S23" s="13"/>
      <c r="T23" s="13"/>
      <c r="U23" s="13"/>
      <c r="V23" s="13"/>
      <c r="W23" s="13"/>
      <c r="X23" s="13"/>
      <c r="Y23" s="13"/>
      <c r="Z23" s="13"/>
      <c r="AA23" s="13"/>
    </row>
    <row r="24" ht="15.75" customHeight="1">
      <c r="A24" s="13"/>
      <c r="B24" s="317" t="s">
        <v>323</v>
      </c>
      <c r="C24" s="318" t="s">
        <v>324</v>
      </c>
      <c r="D24" s="319"/>
      <c r="E24" s="320">
        <f>'Income &amp; Expenses (P3)'!C88</f>
        <v>155080.0318</v>
      </c>
      <c r="F24" s="320">
        <f t="shared" ref="F24:N24" si="14">E24*(1+$E$9)</f>
        <v>159732.4328</v>
      </c>
      <c r="G24" s="320">
        <f t="shared" si="14"/>
        <v>164524.4057</v>
      </c>
      <c r="H24" s="320">
        <f t="shared" si="14"/>
        <v>169460.1379</v>
      </c>
      <c r="I24" s="320">
        <f t="shared" si="14"/>
        <v>174543.9421</v>
      </c>
      <c r="J24" s="320">
        <f t="shared" si="14"/>
        <v>179780.2603</v>
      </c>
      <c r="K24" s="320">
        <f t="shared" si="14"/>
        <v>185173.6681</v>
      </c>
      <c r="L24" s="320">
        <f t="shared" si="14"/>
        <v>190728.8782</v>
      </c>
      <c r="M24" s="320">
        <f t="shared" si="14"/>
        <v>196450.7445</v>
      </c>
      <c r="N24" s="321">
        <f t="shared" si="14"/>
        <v>202344.2668</v>
      </c>
      <c r="O24" s="322"/>
      <c r="P24" s="323">
        <f t="shared" ref="P24:P30" si="16">N24*(1+$E$9)^5</f>
        <v>234572.4626</v>
      </c>
      <c r="Q24" s="321">
        <f t="shared" ref="Q24:Q30" si="17">N24*(1+$E$9)^10</f>
        <v>271933.7745</v>
      </c>
      <c r="R24" s="13"/>
      <c r="S24" s="13"/>
      <c r="T24" s="13"/>
      <c r="U24" s="13"/>
      <c r="V24" s="13"/>
      <c r="W24" s="13"/>
      <c r="X24" s="13"/>
      <c r="Y24" s="13"/>
      <c r="Z24" s="13"/>
      <c r="AA24" s="13"/>
    </row>
    <row r="25" ht="15.75" customHeight="1">
      <c r="A25" s="13"/>
      <c r="B25" s="168"/>
      <c r="C25" s="230" t="s">
        <v>270</v>
      </c>
      <c r="D25" s="13"/>
      <c r="E25" s="322">
        <f>'Income &amp; Expenses (P3)'!C94</f>
        <v>17160</v>
      </c>
      <c r="F25" s="322">
        <f t="shared" ref="F25:N25" si="15">E25*(1+$E$9)</f>
        <v>17674.8</v>
      </c>
      <c r="G25" s="322">
        <f t="shared" si="15"/>
        <v>18205.044</v>
      </c>
      <c r="H25" s="322">
        <f t="shared" si="15"/>
        <v>18751.19532</v>
      </c>
      <c r="I25" s="322">
        <f t="shared" si="15"/>
        <v>19313.73118</v>
      </c>
      <c r="J25" s="322">
        <f t="shared" si="15"/>
        <v>19893.14311</v>
      </c>
      <c r="K25" s="322">
        <f t="shared" si="15"/>
        <v>20489.93741</v>
      </c>
      <c r="L25" s="322">
        <f t="shared" si="15"/>
        <v>21104.63553</v>
      </c>
      <c r="M25" s="322">
        <f t="shared" si="15"/>
        <v>21737.7746</v>
      </c>
      <c r="N25" s="325">
        <f t="shared" si="15"/>
        <v>22389.90783</v>
      </c>
      <c r="O25" s="322"/>
      <c r="P25" s="324">
        <f t="shared" si="16"/>
        <v>25956.03968</v>
      </c>
      <c r="Q25" s="325">
        <f t="shared" si="17"/>
        <v>30090.16387</v>
      </c>
      <c r="R25" s="13"/>
      <c r="S25" s="13"/>
      <c r="T25" s="13"/>
      <c r="U25" s="13"/>
      <c r="V25" s="13"/>
      <c r="W25" s="13"/>
      <c r="X25" s="13"/>
      <c r="Y25" s="13"/>
      <c r="Z25" s="13"/>
      <c r="AA25" s="13"/>
    </row>
    <row r="26" ht="15.75" customHeight="1">
      <c r="A26" s="13"/>
      <c r="B26" s="168"/>
      <c r="C26" s="230" t="s">
        <v>275</v>
      </c>
      <c r="D26" s="13"/>
      <c r="E26" s="322">
        <f>'Income &amp; Expenses (P3)'!C106</f>
        <v>109270</v>
      </c>
      <c r="F26" s="322">
        <f t="shared" ref="F26:N26" si="18">E26*(1+$E$9)</f>
        <v>112548.1</v>
      </c>
      <c r="G26" s="322">
        <f t="shared" si="18"/>
        <v>115924.543</v>
      </c>
      <c r="H26" s="322">
        <f t="shared" si="18"/>
        <v>119402.2793</v>
      </c>
      <c r="I26" s="322">
        <f t="shared" si="18"/>
        <v>122984.3477</v>
      </c>
      <c r="J26" s="322">
        <f t="shared" si="18"/>
        <v>126673.8781</v>
      </c>
      <c r="K26" s="322">
        <f t="shared" si="18"/>
        <v>130474.0944</v>
      </c>
      <c r="L26" s="322">
        <f t="shared" si="18"/>
        <v>134388.3173</v>
      </c>
      <c r="M26" s="322">
        <f t="shared" si="18"/>
        <v>138419.9668</v>
      </c>
      <c r="N26" s="325">
        <f t="shared" si="18"/>
        <v>142572.5658</v>
      </c>
      <c r="O26" s="322"/>
      <c r="P26" s="324">
        <f t="shared" si="16"/>
        <v>165280.6792</v>
      </c>
      <c r="Q26" s="325">
        <f t="shared" si="17"/>
        <v>191605.6064</v>
      </c>
      <c r="R26" s="13"/>
      <c r="S26" s="13"/>
      <c r="T26" s="13"/>
      <c r="U26" s="13"/>
      <c r="V26" s="13"/>
      <c r="W26" s="13"/>
      <c r="X26" s="13"/>
      <c r="Y26" s="13"/>
      <c r="Z26" s="13"/>
      <c r="AA26" s="13"/>
    </row>
    <row r="27" ht="15.75" customHeight="1">
      <c r="A27" s="13"/>
      <c r="B27" s="168"/>
      <c r="C27" s="230" t="s">
        <v>286</v>
      </c>
      <c r="D27" s="13"/>
      <c r="E27" s="322">
        <f>'Income &amp; Expenses (P3)'!C111</f>
        <v>171157</v>
      </c>
      <c r="F27" s="322">
        <f t="shared" ref="F27:N27" si="19">E27*(1+$E$9)</f>
        <v>176291.71</v>
      </c>
      <c r="G27" s="322">
        <f t="shared" si="19"/>
        <v>181580.4613</v>
      </c>
      <c r="H27" s="322">
        <f t="shared" si="19"/>
        <v>187027.8751</v>
      </c>
      <c r="I27" s="322">
        <f t="shared" si="19"/>
        <v>192638.7114</v>
      </c>
      <c r="J27" s="322">
        <f t="shared" si="19"/>
        <v>198417.8727</v>
      </c>
      <c r="K27" s="322">
        <f t="shared" si="19"/>
        <v>204370.4089</v>
      </c>
      <c r="L27" s="322">
        <f t="shared" si="19"/>
        <v>210501.5212</v>
      </c>
      <c r="M27" s="322">
        <f t="shared" si="19"/>
        <v>216816.5668</v>
      </c>
      <c r="N27" s="325">
        <f t="shared" si="19"/>
        <v>223321.0638</v>
      </c>
      <c r="O27" s="322"/>
      <c r="P27" s="324">
        <f t="shared" si="16"/>
        <v>258890.3195</v>
      </c>
      <c r="Q27" s="325">
        <f t="shared" si="17"/>
        <v>300124.8355</v>
      </c>
      <c r="R27" s="13"/>
      <c r="S27" s="13"/>
      <c r="T27" s="13"/>
      <c r="U27" s="13"/>
      <c r="V27" s="13"/>
      <c r="W27" s="13"/>
      <c r="X27" s="13"/>
      <c r="Y27" s="13"/>
      <c r="Z27" s="13"/>
      <c r="AA27" s="13"/>
    </row>
    <row r="28" ht="15.75" customHeight="1">
      <c r="A28" s="13"/>
      <c r="B28" s="168"/>
      <c r="C28" s="230" t="s">
        <v>290</v>
      </c>
      <c r="D28" s="13"/>
      <c r="E28" s="322">
        <f>'Income &amp; Expenses (P3)'!C116</f>
        <v>14979.37965</v>
      </c>
      <c r="F28" s="322">
        <f t="shared" ref="F28:N28" si="20">E28*(1+$E$9)</f>
        <v>15428.76104</v>
      </c>
      <c r="G28" s="322">
        <f t="shared" si="20"/>
        <v>15891.62387</v>
      </c>
      <c r="H28" s="322">
        <f t="shared" si="20"/>
        <v>16368.37259</v>
      </c>
      <c r="I28" s="322">
        <f t="shared" si="20"/>
        <v>16859.42377</v>
      </c>
      <c r="J28" s="322">
        <f t="shared" si="20"/>
        <v>17365.20648</v>
      </c>
      <c r="K28" s="322">
        <f t="shared" si="20"/>
        <v>17886.16267</v>
      </c>
      <c r="L28" s="322">
        <f t="shared" si="20"/>
        <v>18422.74756</v>
      </c>
      <c r="M28" s="322">
        <f t="shared" si="20"/>
        <v>18975.42998</v>
      </c>
      <c r="N28" s="325">
        <f t="shared" si="20"/>
        <v>19544.69288</v>
      </c>
      <c r="O28" s="322"/>
      <c r="P28" s="324">
        <f t="shared" si="16"/>
        <v>22657.65575</v>
      </c>
      <c r="Q28" s="325">
        <f t="shared" si="17"/>
        <v>26266.43289</v>
      </c>
      <c r="R28" s="13"/>
      <c r="S28" s="13"/>
      <c r="T28" s="13"/>
      <c r="U28" s="13"/>
      <c r="V28" s="13"/>
      <c r="W28" s="13"/>
      <c r="X28" s="13"/>
      <c r="Y28" s="13"/>
      <c r="Z28" s="13"/>
      <c r="AA28" s="13"/>
    </row>
    <row r="29" ht="15.75" customHeight="1">
      <c r="A29" s="13"/>
      <c r="B29" s="168"/>
      <c r="C29" s="230" t="s">
        <v>293</v>
      </c>
      <c r="D29" s="13"/>
      <c r="E29" s="322">
        <f>'Income &amp; Expenses (P3)'!C121</f>
        <v>11000</v>
      </c>
      <c r="F29" s="322">
        <f t="shared" ref="F29:N29" si="21">E29*(1+$E$9)</f>
        <v>11330</v>
      </c>
      <c r="G29" s="322">
        <f t="shared" si="21"/>
        <v>11669.9</v>
      </c>
      <c r="H29" s="322">
        <f t="shared" si="21"/>
        <v>12019.997</v>
      </c>
      <c r="I29" s="322">
        <f t="shared" si="21"/>
        <v>12380.59691</v>
      </c>
      <c r="J29" s="322">
        <f t="shared" si="21"/>
        <v>12752.01482</v>
      </c>
      <c r="K29" s="322">
        <f t="shared" si="21"/>
        <v>13134.57526</v>
      </c>
      <c r="L29" s="322">
        <f t="shared" si="21"/>
        <v>13528.61252</v>
      </c>
      <c r="M29" s="322">
        <f t="shared" si="21"/>
        <v>13934.4709</v>
      </c>
      <c r="N29" s="325">
        <f t="shared" si="21"/>
        <v>14352.50502</v>
      </c>
      <c r="O29" s="322"/>
      <c r="P29" s="324">
        <f t="shared" si="16"/>
        <v>16638.48697</v>
      </c>
      <c r="Q29" s="325">
        <f t="shared" si="17"/>
        <v>19288.56658</v>
      </c>
      <c r="R29" s="13"/>
      <c r="S29" s="13"/>
      <c r="T29" s="13"/>
      <c r="U29" s="13"/>
      <c r="V29" s="13"/>
      <c r="W29" s="13"/>
      <c r="X29" s="13"/>
      <c r="Y29" s="13"/>
      <c r="Z29" s="13"/>
      <c r="AA29" s="13"/>
    </row>
    <row r="30" ht="15.75" customHeight="1">
      <c r="A30" s="13"/>
      <c r="B30" s="168"/>
      <c r="C30" s="285" t="s">
        <v>141</v>
      </c>
      <c r="D30" s="333"/>
      <c r="E30" s="334">
        <f>'Income &amp; Expenses (P3)'!C125</f>
        <v>19800</v>
      </c>
      <c r="F30" s="334">
        <f t="shared" ref="F30:N30" si="22">E30*(1+$E$9)</f>
        <v>20394</v>
      </c>
      <c r="G30" s="334">
        <f t="shared" si="22"/>
        <v>21005.82</v>
      </c>
      <c r="H30" s="334">
        <f t="shared" si="22"/>
        <v>21635.9946</v>
      </c>
      <c r="I30" s="334">
        <f t="shared" si="22"/>
        <v>22285.07444</v>
      </c>
      <c r="J30" s="334">
        <f t="shared" si="22"/>
        <v>22953.62667</v>
      </c>
      <c r="K30" s="334">
        <f t="shared" si="22"/>
        <v>23642.23547</v>
      </c>
      <c r="L30" s="334">
        <f t="shared" si="22"/>
        <v>24351.50254</v>
      </c>
      <c r="M30" s="334">
        <f t="shared" si="22"/>
        <v>25082.04761</v>
      </c>
      <c r="N30" s="335">
        <f t="shared" si="22"/>
        <v>25834.50904</v>
      </c>
      <c r="O30" s="322"/>
      <c r="P30" s="336">
        <f t="shared" si="16"/>
        <v>29949.27655</v>
      </c>
      <c r="Q30" s="335">
        <f t="shared" si="17"/>
        <v>34719.41985</v>
      </c>
      <c r="R30" s="13"/>
      <c r="S30" s="13"/>
      <c r="T30" s="13"/>
      <c r="U30" s="13"/>
      <c r="V30" s="13"/>
      <c r="W30" s="13"/>
      <c r="X30" s="13"/>
      <c r="Y30" s="13"/>
      <c r="Z30" s="13"/>
      <c r="AA30" s="13"/>
    </row>
    <row r="31" ht="15.75" customHeight="1">
      <c r="A31" s="13"/>
      <c r="B31" s="171"/>
      <c r="C31" s="337" t="s">
        <v>325</v>
      </c>
      <c r="D31" s="21"/>
      <c r="E31" s="338">
        <f t="shared" ref="E31:N31" si="23">SUM(E24:E30)</f>
        <v>498446.4115</v>
      </c>
      <c r="F31" s="338">
        <f t="shared" si="23"/>
        <v>513399.8038</v>
      </c>
      <c r="G31" s="338">
        <f t="shared" si="23"/>
        <v>528801.7979</v>
      </c>
      <c r="H31" s="338">
        <f t="shared" si="23"/>
        <v>544665.8519</v>
      </c>
      <c r="I31" s="338">
        <f t="shared" si="23"/>
        <v>561005.8274</v>
      </c>
      <c r="J31" s="338">
        <f t="shared" si="23"/>
        <v>577836.0022</v>
      </c>
      <c r="K31" s="338">
        <f t="shared" si="23"/>
        <v>595171.0823</v>
      </c>
      <c r="L31" s="338">
        <f t="shared" si="23"/>
        <v>613026.2148</v>
      </c>
      <c r="M31" s="338">
        <f t="shared" si="23"/>
        <v>631417.0012</v>
      </c>
      <c r="N31" s="339">
        <f t="shared" si="23"/>
        <v>650359.5112</v>
      </c>
      <c r="O31" s="340"/>
      <c r="P31" s="341">
        <f t="shared" ref="P31:Q31" si="24">SUM(P24:P30)</f>
        <v>753944.9204</v>
      </c>
      <c r="Q31" s="339">
        <f t="shared" si="24"/>
        <v>874028.7996</v>
      </c>
      <c r="R31" s="13"/>
      <c r="S31" s="13"/>
      <c r="T31" s="13"/>
      <c r="U31" s="13"/>
      <c r="V31" s="13"/>
      <c r="W31" s="13"/>
      <c r="X31" s="13"/>
      <c r="Y31" s="13"/>
      <c r="Z31" s="13"/>
      <c r="AA31" s="13"/>
    </row>
    <row r="32" ht="15.75" customHeight="1">
      <c r="A32" s="13"/>
      <c r="B32" s="13"/>
      <c r="C32" s="13"/>
      <c r="D32" s="13"/>
      <c r="E32" s="322"/>
      <c r="F32" s="322"/>
      <c r="G32" s="322"/>
      <c r="H32" s="322"/>
      <c r="I32" s="322"/>
      <c r="J32" s="322"/>
      <c r="K32" s="322"/>
      <c r="L32" s="322"/>
      <c r="M32" s="322"/>
      <c r="N32" s="322"/>
      <c r="O32" s="322"/>
      <c r="P32" s="322"/>
      <c r="Q32" s="322"/>
      <c r="R32" s="13"/>
      <c r="S32" s="13"/>
      <c r="T32" s="13"/>
      <c r="U32" s="13"/>
      <c r="V32" s="13"/>
      <c r="W32" s="13"/>
      <c r="X32" s="13"/>
      <c r="Y32" s="13"/>
      <c r="Z32" s="13"/>
      <c r="AA32" s="13"/>
    </row>
    <row r="33" ht="15.75" customHeight="1">
      <c r="A33" s="13"/>
      <c r="B33" s="317" t="s">
        <v>326</v>
      </c>
      <c r="C33" s="318" t="s">
        <v>327</v>
      </c>
      <c r="D33" s="319"/>
      <c r="E33" s="343">
        <f t="shared" ref="E33:N33" si="25">E22-E31</f>
        <v>304089.7085</v>
      </c>
      <c r="F33" s="343">
        <f t="shared" si="25"/>
        <v>305187.0386</v>
      </c>
      <c r="G33" s="343">
        <f t="shared" si="25"/>
        <v>306156.7813</v>
      </c>
      <c r="H33" s="343">
        <f t="shared" si="25"/>
        <v>306991.899</v>
      </c>
      <c r="I33" s="343">
        <f t="shared" si="25"/>
        <v>307685.0784</v>
      </c>
      <c r="J33" s="343">
        <f t="shared" si="25"/>
        <v>308228.7217</v>
      </c>
      <c r="K33" s="343">
        <f t="shared" si="25"/>
        <v>308614.9361</v>
      </c>
      <c r="L33" s="343">
        <f t="shared" si="25"/>
        <v>308835.524</v>
      </c>
      <c r="M33" s="343">
        <f t="shared" si="25"/>
        <v>308881.9724</v>
      </c>
      <c r="N33" s="344">
        <f t="shared" si="25"/>
        <v>308745.4418</v>
      </c>
      <c r="O33" s="340"/>
      <c r="P33" s="345">
        <f t="shared" ref="P33:Q33" si="26">P22-P31</f>
        <v>304984.4466</v>
      </c>
      <c r="Q33" s="344">
        <f t="shared" si="26"/>
        <v>295114.7863</v>
      </c>
      <c r="R33" s="13"/>
      <c r="S33" s="13"/>
      <c r="T33" s="13"/>
      <c r="U33" s="13"/>
      <c r="V33" s="13"/>
      <c r="W33" s="13"/>
      <c r="X33" s="13"/>
      <c r="Y33" s="13"/>
      <c r="Z33" s="13"/>
      <c r="AA33" s="13"/>
    </row>
    <row r="34" ht="15.75" customHeight="1">
      <c r="A34" s="13"/>
      <c r="B34" s="168"/>
      <c r="C34" s="230"/>
      <c r="D34" s="13"/>
      <c r="E34" s="322"/>
      <c r="F34" s="322"/>
      <c r="G34" s="322"/>
      <c r="H34" s="322"/>
      <c r="I34" s="322"/>
      <c r="J34" s="322"/>
      <c r="K34" s="322"/>
      <c r="L34" s="322"/>
      <c r="M34" s="322"/>
      <c r="N34" s="325"/>
      <c r="O34" s="322"/>
      <c r="P34" s="324"/>
      <c r="Q34" s="325"/>
      <c r="R34" s="13"/>
      <c r="S34" s="13"/>
      <c r="T34" s="13"/>
      <c r="U34" s="13"/>
      <c r="V34" s="13"/>
      <c r="W34" s="13"/>
      <c r="X34" s="13"/>
      <c r="Y34" s="13"/>
      <c r="Z34" s="13"/>
      <c r="AA34" s="13"/>
    </row>
    <row r="35" ht="15.75" customHeight="1">
      <c r="A35" s="13"/>
      <c r="B35" s="168"/>
      <c r="C35" s="230" t="s">
        <v>82</v>
      </c>
      <c r="D35" s="13"/>
      <c r="E35" s="322">
        <f>-debtservtotal_three</f>
        <v>-258799.7519</v>
      </c>
      <c r="F35" s="322">
        <f>-debtservtotal_three</f>
        <v>-258799.7519</v>
      </c>
      <c r="G35" s="322">
        <f>-debtservtotal_three</f>
        <v>-258799.7519</v>
      </c>
      <c r="H35" s="322">
        <f>-debtservtotal_three</f>
        <v>-258799.7519</v>
      </c>
      <c r="I35" s="322">
        <f>-debtservtotal_three</f>
        <v>-258799.7519</v>
      </c>
      <c r="J35" s="322">
        <f>-debtservtotal_three</f>
        <v>-258799.7519</v>
      </c>
      <c r="K35" s="322">
        <f>-debtservtotal_three</f>
        <v>-258799.7519</v>
      </c>
      <c r="L35" s="322">
        <f>-debtservtotal_three</f>
        <v>-258799.7519</v>
      </c>
      <c r="M35" s="322">
        <f>-debtservtotal_three</f>
        <v>-258799.7519</v>
      </c>
      <c r="N35" s="325">
        <f>-debtservtotal_three</f>
        <v>-258799.7519</v>
      </c>
      <c r="O35" s="322"/>
      <c r="P35" s="324">
        <f>-debtservtotal_three</f>
        <v>-258799.7519</v>
      </c>
      <c r="Q35" s="325">
        <f>-debtservtotal_three</f>
        <v>-258799.7519</v>
      </c>
      <c r="R35" s="13"/>
      <c r="S35" s="13"/>
      <c r="T35" s="13"/>
      <c r="U35" s="13"/>
      <c r="V35" s="13"/>
      <c r="W35" s="13"/>
      <c r="X35" s="13"/>
      <c r="Y35" s="13"/>
      <c r="Z35" s="13"/>
      <c r="AA35" s="13"/>
    </row>
    <row r="36" ht="15.75" customHeight="1">
      <c r="A36" s="13"/>
      <c r="B36" s="168"/>
      <c r="C36" s="230" t="s">
        <v>328</v>
      </c>
      <c r="D36" s="13"/>
      <c r="E36" s="347">
        <f t="shared" ref="E36:N36" si="27">-E33/E35</f>
        <v>1.175</v>
      </c>
      <c r="F36" s="347">
        <f t="shared" si="27"/>
        <v>1.179240074</v>
      </c>
      <c r="G36" s="347">
        <f t="shared" si="27"/>
        <v>1.182987151</v>
      </c>
      <c r="H36" s="347">
        <f t="shared" si="27"/>
        <v>1.186214039</v>
      </c>
      <c r="I36" s="347">
        <f t="shared" si="27"/>
        <v>1.188892478</v>
      </c>
      <c r="J36" s="347">
        <f t="shared" si="27"/>
        <v>1.190993111</v>
      </c>
      <c r="K36" s="347">
        <f t="shared" si="27"/>
        <v>1.19248544</v>
      </c>
      <c r="L36" s="347">
        <f t="shared" si="27"/>
        <v>1.19333779</v>
      </c>
      <c r="M36" s="347">
        <f t="shared" si="27"/>
        <v>1.193517266</v>
      </c>
      <c r="N36" s="348">
        <f t="shared" si="27"/>
        <v>1.192989713</v>
      </c>
      <c r="O36" s="347"/>
      <c r="P36" s="349">
        <f t="shared" ref="P36:Q36" si="28">-P33/P35</f>
        <v>1.17845726</v>
      </c>
      <c r="Q36" s="348">
        <f t="shared" si="28"/>
        <v>1.140320978</v>
      </c>
      <c r="R36" s="13"/>
      <c r="S36" s="13"/>
      <c r="T36" s="13"/>
      <c r="U36" s="13"/>
      <c r="V36" s="13"/>
      <c r="W36" s="13"/>
      <c r="X36" s="13"/>
      <c r="Y36" s="13"/>
      <c r="Z36" s="13"/>
      <c r="AA36" s="13"/>
    </row>
    <row r="37" ht="15.75" customHeight="1">
      <c r="A37" s="13"/>
      <c r="B37" s="168"/>
      <c r="C37" s="285"/>
      <c r="D37" s="333"/>
      <c r="E37" s="334"/>
      <c r="F37" s="334"/>
      <c r="G37" s="334"/>
      <c r="H37" s="334"/>
      <c r="I37" s="334"/>
      <c r="J37" s="334"/>
      <c r="K37" s="334"/>
      <c r="L37" s="334"/>
      <c r="M37" s="334"/>
      <c r="N37" s="335"/>
      <c r="O37" s="322"/>
      <c r="P37" s="336"/>
      <c r="Q37" s="335"/>
      <c r="R37" s="13"/>
      <c r="S37" s="13"/>
      <c r="T37" s="13"/>
      <c r="U37" s="13"/>
      <c r="V37" s="13"/>
      <c r="W37" s="13"/>
      <c r="X37" s="13"/>
      <c r="Y37" s="13"/>
      <c r="Z37" s="13"/>
      <c r="AA37" s="13"/>
    </row>
    <row r="38" ht="15.75" customHeight="1">
      <c r="A38" s="13"/>
      <c r="B38" s="171"/>
      <c r="C38" s="337" t="s">
        <v>329</v>
      </c>
      <c r="D38" s="21"/>
      <c r="E38" s="338">
        <f t="shared" ref="E38:N38" si="29">E33+E35</f>
        <v>45289.95659</v>
      </c>
      <c r="F38" s="338">
        <f t="shared" si="29"/>
        <v>46387.28665</v>
      </c>
      <c r="G38" s="338">
        <f t="shared" si="29"/>
        <v>47357.02938</v>
      </c>
      <c r="H38" s="338">
        <f t="shared" si="29"/>
        <v>48192.14703</v>
      </c>
      <c r="I38" s="338">
        <f t="shared" si="29"/>
        <v>48885.32649</v>
      </c>
      <c r="J38" s="338">
        <f t="shared" si="29"/>
        <v>49428.96978</v>
      </c>
      <c r="K38" s="338">
        <f t="shared" si="29"/>
        <v>49815.1842</v>
      </c>
      <c r="L38" s="338">
        <f t="shared" si="29"/>
        <v>50035.7721</v>
      </c>
      <c r="M38" s="338">
        <f t="shared" si="29"/>
        <v>50082.22043</v>
      </c>
      <c r="N38" s="339">
        <f t="shared" si="29"/>
        <v>49945.68987</v>
      </c>
      <c r="O38" s="340"/>
      <c r="P38" s="341">
        <f t="shared" ref="P38:Q38" si="30">P33+P35</f>
        <v>46184.69462</v>
      </c>
      <c r="Q38" s="339">
        <f t="shared" si="30"/>
        <v>36315.0344</v>
      </c>
      <c r="R38" s="13"/>
      <c r="S38" s="13"/>
      <c r="T38" s="13"/>
      <c r="U38" s="13"/>
      <c r="V38" s="13"/>
      <c r="W38" s="13"/>
      <c r="X38" s="13"/>
      <c r="Y38" s="13"/>
      <c r="Z38" s="13"/>
      <c r="AA38" s="13"/>
    </row>
    <row r="39" ht="15.75" customHeight="1">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row>
    <row r="40" ht="15.75" customHeight="1">
      <c r="A40" s="13"/>
      <c r="B40" s="351" t="s">
        <v>330</v>
      </c>
      <c r="C40" s="318" t="s">
        <v>331</v>
      </c>
      <c r="D40" s="319"/>
      <c r="E40" s="320">
        <f>MIN('Sources &amp; Uses (P3)'!$D$23/15,E38)</f>
        <v>45289.95659</v>
      </c>
      <c r="F40" s="320">
        <f>MIN('Sources &amp; Uses (P3)'!$D$23/15,F38)</f>
        <v>46200</v>
      </c>
      <c r="G40" s="320">
        <f>MIN('Sources &amp; Uses (P3)'!$D$23/15,G38)</f>
        <v>46200</v>
      </c>
      <c r="H40" s="320">
        <f>MIN('Sources &amp; Uses (P3)'!$D$23/15,H38)</f>
        <v>46200</v>
      </c>
      <c r="I40" s="320">
        <f>MIN('Sources &amp; Uses (P3)'!$D$23/15,I38)</f>
        <v>46200</v>
      </c>
      <c r="J40" s="320">
        <f>MIN('Sources &amp; Uses (P3)'!$D$23/15,J38)</f>
        <v>46200</v>
      </c>
      <c r="K40" s="320">
        <f>MIN('Sources &amp; Uses (P3)'!$D$23/15,K38)</f>
        <v>46200</v>
      </c>
      <c r="L40" s="320">
        <f>MIN('Sources &amp; Uses (P3)'!$D$23/15,L38)</f>
        <v>46200</v>
      </c>
      <c r="M40" s="320">
        <f>MIN('Sources &amp; Uses (P3)'!$D$23/15,M38)</f>
        <v>46200</v>
      </c>
      <c r="N40" s="320">
        <f>MIN('Sources &amp; Uses (P3)'!$D$23/15,N38)</f>
        <v>46200</v>
      </c>
      <c r="O40" s="319"/>
      <c r="P40" s="320">
        <f>MIN(P38,N41-4*N40)</f>
        <v>46184.69462</v>
      </c>
      <c r="Q40" s="321">
        <v>0.0</v>
      </c>
      <c r="R40" s="13"/>
      <c r="S40" s="13"/>
      <c r="T40" s="13"/>
      <c r="U40" s="13"/>
      <c r="V40" s="13"/>
      <c r="W40" s="13"/>
      <c r="X40" s="13"/>
      <c r="Y40" s="13"/>
      <c r="Z40" s="13"/>
      <c r="AA40" s="13"/>
    </row>
    <row r="41" ht="15.75" customHeight="1">
      <c r="A41" s="13"/>
      <c r="B41" s="346"/>
      <c r="C41" s="352" t="s">
        <v>332</v>
      </c>
      <c r="D41" s="333"/>
      <c r="E41" s="354">
        <f>'Sources &amp; Uses (P3)'!$D$23-'Cash Flow (P3)'!E40</f>
        <v>647710.0434</v>
      </c>
      <c r="F41" s="354">
        <f t="shared" ref="F41:N41" si="31">E41-F40</f>
        <v>601510.0434</v>
      </c>
      <c r="G41" s="354">
        <f t="shared" si="31"/>
        <v>555310.0434</v>
      </c>
      <c r="H41" s="354">
        <f t="shared" si="31"/>
        <v>509110.0434</v>
      </c>
      <c r="I41" s="354">
        <f t="shared" si="31"/>
        <v>462910.0434</v>
      </c>
      <c r="J41" s="354">
        <f t="shared" si="31"/>
        <v>416710.0434</v>
      </c>
      <c r="K41" s="354">
        <f t="shared" si="31"/>
        <v>370510.0434</v>
      </c>
      <c r="L41" s="354">
        <f t="shared" si="31"/>
        <v>324310.0434</v>
      </c>
      <c r="M41" s="354">
        <f t="shared" si="31"/>
        <v>278110.0434</v>
      </c>
      <c r="N41" s="354">
        <f t="shared" si="31"/>
        <v>231910.0434</v>
      </c>
      <c r="O41" s="353"/>
      <c r="P41" s="354">
        <f>(N41-4*N40)-P40</f>
        <v>925.3487915</v>
      </c>
      <c r="Q41" s="355">
        <f>P41</f>
        <v>925.3487915</v>
      </c>
      <c r="R41" s="13"/>
      <c r="S41" s="58"/>
      <c r="T41" s="13"/>
      <c r="U41" s="13"/>
      <c r="V41" s="13"/>
      <c r="W41" s="13"/>
      <c r="X41" s="13"/>
      <c r="Y41" s="13"/>
      <c r="Z41" s="13"/>
      <c r="AA41" s="13"/>
    </row>
    <row r="42" ht="15.75" customHeight="1">
      <c r="A42" s="13"/>
      <c r="B42" s="346"/>
      <c r="C42" s="278" t="s">
        <v>594</v>
      </c>
      <c r="D42" s="15"/>
      <c r="E42" s="340">
        <f t="shared" ref="E42:N42" si="32">E38-E40</f>
        <v>0</v>
      </c>
      <c r="F42" s="340">
        <f t="shared" si="32"/>
        <v>187.2866474</v>
      </c>
      <c r="G42" s="340">
        <f t="shared" si="32"/>
        <v>1157.029381</v>
      </c>
      <c r="H42" s="340">
        <f t="shared" si="32"/>
        <v>1992.147029</v>
      </c>
      <c r="I42" s="340">
        <f t="shared" si="32"/>
        <v>2685.32649</v>
      </c>
      <c r="J42" s="340">
        <f t="shared" si="32"/>
        <v>3228.969785</v>
      </c>
      <c r="K42" s="340">
        <f t="shared" si="32"/>
        <v>3615.184197</v>
      </c>
      <c r="L42" s="340">
        <f t="shared" si="32"/>
        <v>3835.772097</v>
      </c>
      <c r="M42" s="340">
        <f t="shared" si="32"/>
        <v>3882.22043</v>
      </c>
      <c r="N42" s="340">
        <f t="shared" si="32"/>
        <v>3745.689866</v>
      </c>
      <c r="O42" s="15"/>
      <c r="P42" s="340">
        <f t="shared" ref="P42:Q42" si="33">P38-P40</f>
        <v>0</v>
      </c>
      <c r="Q42" s="356">
        <f t="shared" si="33"/>
        <v>36315.0344</v>
      </c>
      <c r="R42" s="13"/>
      <c r="S42" s="13"/>
      <c r="T42" s="13"/>
      <c r="U42" s="13"/>
      <c r="V42" s="13"/>
      <c r="W42" s="13"/>
      <c r="X42" s="13"/>
      <c r="Y42" s="13"/>
      <c r="Z42" s="13"/>
      <c r="AA42" s="13"/>
    </row>
    <row r="43" ht="15.75" customHeight="1">
      <c r="A43" s="13"/>
      <c r="B43" s="346"/>
      <c r="C43" s="357" t="s">
        <v>333</v>
      </c>
      <c r="D43" s="358">
        <v>0.7</v>
      </c>
      <c r="E43" s="359">
        <f t="shared" ref="E43:N43" si="34">E$42*$D43</f>
        <v>0</v>
      </c>
      <c r="F43" s="359">
        <f t="shared" si="34"/>
        <v>131.1006532</v>
      </c>
      <c r="G43" s="359">
        <f t="shared" si="34"/>
        <v>809.9205669</v>
      </c>
      <c r="H43" s="359">
        <f t="shared" si="34"/>
        <v>1394.50292</v>
      </c>
      <c r="I43" s="359">
        <f t="shared" si="34"/>
        <v>1879.728543</v>
      </c>
      <c r="J43" s="359">
        <f t="shared" si="34"/>
        <v>2260.278849</v>
      </c>
      <c r="K43" s="359">
        <f t="shared" si="34"/>
        <v>2530.628938</v>
      </c>
      <c r="L43" s="359">
        <f t="shared" si="34"/>
        <v>2685.040468</v>
      </c>
      <c r="M43" s="359">
        <f t="shared" si="34"/>
        <v>2717.554301</v>
      </c>
      <c r="N43" s="359">
        <f t="shared" si="34"/>
        <v>2621.982906</v>
      </c>
      <c r="O43" s="95"/>
      <c r="P43" s="359">
        <f t="shared" ref="P43:Q43" si="35">P$42*$D43</f>
        <v>0</v>
      </c>
      <c r="Q43" s="360">
        <f t="shared" si="35"/>
        <v>25420.52408</v>
      </c>
      <c r="R43" s="13"/>
      <c r="S43" s="13"/>
      <c r="T43" s="13"/>
      <c r="U43" s="13"/>
      <c r="V43" s="13"/>
      <c r="W43" s="13"/>
      <c r="X43" s="13"/>
      <c r="Y43" s="13"/>
      <c r="Z43" s="13"/>
      <c r="AA43" s="13"/>
    </row>
    <row r="44" ht="15.75" customHeight="1">
      <c r="A44" s="13"/>
      <c r="B44" s="346"/>
      <c r="C44" s="357" t="s">
        <v>334</v>
      </c>
      <c r="D44" s="358">
        <v>0.25</v>
      </c>
      <c r="E44" s="359">
        <f t="shared" ref="E44:N44" si="36">E$42*$D44</f>
        <v>0</v>
      </c>
      <c r="F44" s="359">
        <f t="shared" si="36"/>
        <v>46.82166186</v>
      </c>
      <c r="G44" s="359">
        <f t="shared" si="36"/>
        <v>289.2573453</v>
      </c>
      <c r="H44" s="359">
        <f t="shared" si="36"/>
        <v>498.0367572</v>
      </c>
      <c r="I44" s="359">
        <f t="shared" si="36"/>
        <v>671.3316225</v>
      </c>
      <c r="J44" s="359">
        <f t="shared" si="36"/>
        <v>807.2424461</v>
      </c>
      <c r="K44" s="359">
        <f t="shared" si="36"/>
        <v>903.7960492</v>
      </c>
      <c r="L44" s="359">
        <f t="shared" si="36"/>
        <v>958.9430242</v>
      </c>
      <c r="M44" s="359">
        <f t="shared" si="36"/>
        <v>970.5551075</v>
      </c>
      <c r="N44" s="359">
        <f t="shared" si="36"/>
        <v>936.4224664</v>
      </c>
      <c r="O44" s="95"/>
      <c r="P44" s="359">
        <f t="shared" ref="P44:Q44" si="37">P$42*$D44</f>
        <v>0</v>
      </c>
      <c r="Q44" s="360">
        <f t="shared" si="37"/>
        <v>9078.758599</v>
      </c>
      <c r="R44" s="13"/>
      <c r="S44" s="13"/>
      <c r="T44" s="13"/>
      <c r="U44" s="13"/>
      <c r="V44" s="13"/>
      <c r="W44" s="13"/>
      <c r="X44" s="13"/>
      <c r="Y44" s="13"/>
      <c r="Z44" s="13"/>
      <c r="AA44" s="13"/>
    </row>
    <row r="45" ht="15.75" customHeight="1">
      <c r="A45" s="13"/>
      <c r="B45" s="350"/>
      <c r="C45" s="361" t="s">
        <v>335</v>
      </c>
      <c r="D45" s="362">
        <v>0.05</v>
      </c>
      <c r="E45" s="363">
        <f t="shared" ref="E45:N45" si="38">E$42*$D45</f>
        <v>0</v>
      </c>
      <c r="F45" s="363">
        <f t="shared" si="38"/>
        <v>9.364332372</v>
      </c>
      <c r="G45" s="363">
        <f t="shared" si="38"/>
        <v>57.85146907</v>
      </c>
      <c r="H45" s="363">
        <f t="shared" si="38"/>
        <v>99.60735144</v>
      </c>
      <c r="I45" s="363">
        <f t="shared" si="38"/>
        <v>134.2663245</v>
      </c>
      <c r="J45" s="363">
        <f t="shared" si="38"/>
        <v>161.4484892</v>
      </c>
      <c r="K45" s="363">
        <f t="shared" si="38"/>
        <v>180.7592098</v>
      </c>
      <c r="L45" s="363">
        <f t="shared" si="38"/>
        <v>191.7886048</v>
      </c>
      <c r="M45" s="363">
        <f t="shared" si="38"/>
        <v>194.1110215</v>
      </c>
      <c r="N45" s="363">
        <f t="shared" si="38"/>
        <v>187.2844933</v>
      </c>
      <c r="O45" s="364"/>
      <c r="P45" s="363">
        <f t="shared" ref="P45:Q45" si="39">P$42*$D45</f>
        <v>0</v>
      </c>
      <c r="Q45" s="365">
        <f t="shared" si="39"/>
        <v>1815.75172</v>
      </c>
      <c r="R45" s="13"/>
      <c r="S45" s="13"/>
      <c r="T45" s="13"/>
      <c r="U45" s="13"/>
      <c r="V45" s="13"/>
      <c r="W45" s="13"/>
      <c r="X45" s="13"/>
      <c r="Y45" s="13"/>
      <c r="Z45" s="13"/>
      <c r="AA45" s="13"/>
    </row>
    <row r="46" ht="15.75"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row>
    <row r="47" ht="15.75"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row>
    <row r="48" ht="15.75"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row>
    <row r="49" ht="15.7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row>
    <row r="50" ht="15.7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row>
    <row r="51" ht="15.7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row>
    <row r="52" ht="15.7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row>
    <row r="53" ht="15.7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row>
    <row r="54" ht="15.7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row>
    <row r="55" ht="15.7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5.7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5.7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5.7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5.75"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5.75"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5.7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5.7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5.75"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5.7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5.7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5.7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5.75"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5.75"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5.75"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5.75"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5.75"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5.7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5.7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5.7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5.7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5.7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5.75" customHeight="1">
      <c r="A79" s="13"/>
      <c r="B79" s="13"/>
      <c r="C79" s="57"/>
      <c r="D79" s="57"/>
      <c r="E79" s="13"/>
      <c r="F79" s="13"/>
      <c r="G79" s="13"/>
      <c r="H79" s="13"/>
      <c r="I79" s="13"/>
      <c r="J79" s="13"/>
      <c r="K79" s="13"/>
      <c r="L79" s="13"/>
      <c r="M79" s="13"/>
      <c r="N79" s="13"/>
      <c r="O79" s="13"/>
      <c r="P79" s="13"/>
      <c r="Q79" s="13"/>
      <c r="R79" s="13"/>
      <c r="S79" s="13"/>
      <c r="T79" s="13"/>
      <c r="U79" s="13"/>
      <c r="V79" s="13"/>
      <c r="W79" s="13"/>
      <c r="X79" s="13"/>
      <c r="Y79" s="13"/>
      <c r="Z79" s="13"/>
      <c r="AA79" s="13"/>
    </row>
    <row r="80" ht="15.7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5.7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5.7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5.7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5.7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5.7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5.7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5.7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5.7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5.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5.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5.7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5.7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5.7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5.7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5.7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5.7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5.7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5.7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5.7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5.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5.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5.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5.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5.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5.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5.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5.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5.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5.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5.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5.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5.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5.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5.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5.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5.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5.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5.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5.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5.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5.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5.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5.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5.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5.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5.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5.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row>
    <row r="223"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row>
    <row r="224"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row>
    <row r="225"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row>
    <row r="2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row>
    <row r="227"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row>
    <row r="228"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row>
    <row r="229"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row>
    <row r="230"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row>
    <row r="231"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row>
    <row r="232"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row>
    <row r="233"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row>
    <row r="234"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row>
    <row r="235"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row>
    <row r="23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row>
    <row r="237"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row>
    <row r="238"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row>
    <row r="239"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row>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B2:I2"/>
    <mergeCell ref="C4:E4"/>
    <mergeCell ref="B12:B22"/>
    <mergeCell ref="B24:B31"/>
    <mergeCell ref="B33:B38"/>
    <mergeCell ref="B40:B45"/>
  </mergeCells>
  <printOptions/>
  <pageMargins bottom="0.75" footer="0.0" header="0.0" left="0.7" right="0.7" top="0.75"/>
  <pageSetup orientation="portrait"/>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7CAAC"/>
    <pageSetUpPr/>
  </sheetPr>
  <sheetViews>
    <sheetView showGridLines="0" workbookViewId="0"/>
  </sheetViews>
  <sheetFormatPr customHeight="1" defaultColWidth="12.63" defaultRowHeight="15.0"/>
  <cols>
    <col customWidth="1" min="1" max="1" width="2.88"/>
    <col customWidth="1" min="2" max="2" width="10.63"/>
    <col customWidth="1" min="3" max="3" width="48.63"/>
    <col customWidth="1" min="4" max="4" width="19.13"/>
    <col customWidth="1" min="5" max="5" width="53.88"/>
    <col customWidth="1" min="6" max="6" width="10.63"/>
  </cols>
  <sheetData>
    <row r="2" ht="15.0" customHeight="1">
      <c r="C2" s="367" t="s">
        <v>379</v>
      </c>
      <c r="D2" s="367"/>
      <c r="E2" s="367"/>
    </row>
    <row r="3" ht="13.5" customHeight="1"/>
    <row r="4" ht="13.5" customHeight="1">
      <c r="C4" s="369" t="s">
        <v>537</v>
      </c>
      <c r="D4" s="370"/>
      <c r="E4" s="370"/>
    </row>
    <row r="5" ht="13.5" customHeight="1">
      <c r="C5" s="371"/>
      <c r="D5" s="371"/>
      <c r="E5" s="371" t="s">
        <v>338</v>
      </c>
    </row>
    <row r="6" ht="13.5" customHeight="1">
      <c r="C6" s="35" t="s">
        <v>381</v>
      </c>
      <c r="D6" s="380">
        <f>noi_three</f>
        <v>304089.7085</v>
      </c>
    </row>
    <row r="7" ht="13.5" customHeight="1">
      <c r="C7" s="35" t="s">
        <v>382</v>
      </c>
      <c r="D7" s="377">
        <v>1.175</v>
      </c>
      <c r="E7" s="35" t="s">
        <v>595</v>
      </c>
    </row>
    <row r="8" ht="13.5" customHeight="1">
      <c r="C8" s="35" t="s">
        <v>384</v>
      </c>
      <c r="D8" s="380">
        <f>D6/D7</f>
        <v>258799.7519</v>
      </c>
    </row>
    <row r="9" ht="13.5" customHeight="1"/>
    <row r="10" ht="13.5" customHeight="1">
      <c r="C10" s="35" t="s">
        <v>385</v>
      </c>
      <c r="D10" s="377">
        <v>35.0</v>
      </c>
      <c r="E10" s="35" t="s">
        <v>596</v>
      </c>
    </row>
    <row r="11" ht="13.5" customHeight="1">
      <c r="C11" s="35" t="s">
        <v>387</v>
      </c>
      <c r="D11" s="379">
        <v>0.0625</v>
      </c>
      <c r="E11" s="35" t="s">
        <v>353</v>
      </c>
    </row>
    <row r="12" ht="13.5" customHeight="1">
      <c r="C12" s="371" t="s">
        <v>598</v>
      </c>
      <c r="D12" s="381">
        <f>PV(D11/12,D10*12,-D8/12)</f>
        <v>3673566.687</v>
      </c>
      <c r="E12" s="371"/>
    </row>
    <row r="13" ht="13.5" customHeight="1">
      <c r="C13" s="35" t="s">
        <v>599</v>
      </c>
      <c r="D13" s="397">
        <v>1.0E7</v>
      </c>
      <c r="E13" s="35" t="s">
        <v>596</v>
      </c>
    </row>
    <row r="14" ht="13.5" customHeight="1">
      <c r="C14" s="375" t="s">
        <v>388</v>
      </c>
      <c r="D14" s="376">
        <f>MIN(D12,D13)</f>
        <v>3673566.687</v>
      </c>
    </row>
    <row r="15" ht="13.5" customHeight="1"/>
    <row r="16" ht="13.5" customHeight="1"/>
    <row r="17" ht="13.5" customHeight="1"/>
    <row r="18" ht="13.5" customHeight="1">
      <c r="C18" s="367" t="s">
        <v>336</v>
      </c>
      <c r="D18" s="367"/>
      <c r="E18" s="367"/>
    </row>
    <row r="19" ht="13.5" customHeight="1"/>
    <row r="20" ht="13.5" customHeight="1">
      <c r="C20" s="369" t="s">
        <v>600</v>
      </c>
      <c r="D20" s="370"/>
      <c r="E20" s="370"/>
    </row>
    <row r="21" ht="13.5" customHeight="1">
      <c r="C21" s="371"/>
      <c r="D21" s="371"/>
      <c r="E21" s="371" t="s">
        <v>338</v>
      </c>
    </row>
    <row r="22" ht="13.5" customHeight="1">
      <c r="C22" s="35" t="s">
        <v>358</v>
      </c>
      <c r="D22" s="380">
        <f>'Sources &amp; Uses (P3)'!C54+'Sources &amp; Uses (P3)'!C64+'Sources &amp; Uses (P3)'!E54+'Sources &amp; Uses (P3)'!E64</f>
        <v>12987706.6</v>
      </c>
      <c r="E22" s="35" t="s">
        <v>359</v>
      </c>
    </row>
    <row r="23" ht="13.5" customHeight="1">
      <c r="C23" s="35" t="s">
        <v>360</v>
      </c>
      <c r="D23" s="378">
        <v>0.9</v>
      </c>
      <c r="E23" s="35" t="s">
        <v>361</v>
      </c>
    </row>
    <row r="24" ht="13.5" customHeight="1">
      <c r="C24" s="371" t="s">
        <v>362</v>
      </c>
      <c r="D24" s="381">
        <f>D23*D22</f>
        <v>11688935.94</v>
      </c>
      <c r="E24" s="371"/>
    </row>
    <row r="25" ht="13.5" customHeight="1">
      <c r="C25" s="375" t="s">
        <v>367</v>
      </c>
      <c r="D25" s="376">
        <f>D24</f>
        <v>11688935.94</v>
      </c>
    </row>
    <row r="26" ht="13.5" customHeight="1"/>
    <row r="27" ht="13.5" customHeight="1">
      <c r="C27" s="35" t="s">
        <v>344</v>
      </c>
      <c r="D27" s="377">
        <f>AVERAGE('Development Comps'!C8:F8)</f>
        <v>14.5</v>
      </c>
      <c r="E27" s="35" t="s">
        <v>345</v>
      </c>
    </row>
    <row r="28" ht="13.5" customHeight="1">
      <c r="C28" s="35" t="s">
        <v>346</v>
      </c>
      <c r="D28" s="378">
        <v>0.3</v>
      </c>
      <c r="E28" s="35" t="s">
        <v>347</v>
      </c>
    </row>
    <row r="29" ht="13.5" customHeight="1">
      <c r="C29" s="35" t="s">
        <v>601</v>
      </c>
      <c r="D29" s="450">
        <f>unit_three/'Development Comps'!G27</f>
        <v>7.135135135</v>
      </c>
      <c r="E29" s="35" t="s">
        <v>602</v>
      </c>
    </row>
    <row r="30" ht="13.5" customHeight="1">
      <c r="C30" s="35" t="s">
        <v>350</v>
      </c>
      <c r="D30" s="35">
        <f>ROUNDDOWN(D27*(1-D28)+D29,0)</f>
        <v>17</v>
      </c>
    </row>
    <row r="31" ht="13.5" customHeight="1">
      <c r="C31" s="35" t="s">
        <v>351</v>
      </c>
      <c r="D31" s="378">
        <v>0.45</v>
      </c>
    </row>
    <row r="32" ht="13.5" customHeight="1">
      <c r="C32" s="35" t="s">
        <v>352</v>
      </c>
      <c r="D32" s="379">
        <v>0.0843</v>
      </c>
      <c r="E32" s="35" t="s">
        <v>353</v>
      </c>
    </row>
    <row r="33" ht="13.5" customHeight="1">
      <c r="C33" s="35" t="s">
        <v>354</v>
      </c>
      <c r="D33" s="380">
        <f>D25*D31*(D32/12)*D27</f>
        <v>535798.9067</v>
      </c>
    </row>
    <row r="34" ht="13.5" customHeight="1">
      <c r="C34" s="371" t="s">
        <v>355</v>
      </c>
      <c r="D34" s="381">
        <f>D25*(D32/12)*D29</f>
        <v>585900.0161</v>
      </c>
      <c r="E34" s="371"/>
    </row>
    <row r="35" ht="13.5" customHeight="1">
      <c r="C35" s="375" t="s">
        <v>603</v>
      </c>
      <c r="D35" s="376">
        <f>SUM(D33:D34)</f>
        <v>1121698.923</v>
      </c>
    </row>
    <row r="36" ht="13.5" customHeight="1"/>
    <row r="37" ht="13.5" customHeight="1"/>
    <row r="38" ht="13.5" customHeight="1"/>
    <row r="39" ht="13.5" customHeight="1">
      <c r="C39" s="369" t="s">
        <v>369</v>
      </c>
      <c r="D39" s="370"/>
      <c r="E39" s="370"/>
    </row>
    <row r="40" ht="13.5" customHeight="1">
      <c r="C40" s="35"/>
    </row>
    <row r="41" ht="13.5" customHeight="1">
      <c r="C41" s="371"/>
      <c r="D41" s="371"/>
      <c r="E41" s="371" t="s">
        <v>338</v>
      </c>
    </row>
    <row r="42" ht="13.5" customHeight="1">
      <c r="C42" s="35" t="s">
        <v>106</v>
      </c>
      <c r="D42" s="380">
        <f>'Sources &amp; Uses (P3)'!C58</f>
        <v>194375.7879</v>
      </c>
    </row>
    <row r="43" ht="13.5" customHeight="1">
      <c r="C43" s="35" t="s">
        <v>117</v>
      </c>
      <c r="D43" s="380">
        <f>'Sources &amp; Uses (P3)'!C72</f>
        <v>75000</v>
      </c>
    </row>
    <row r="44" ht="13.5" customHeight="1">
      <c r="C44" s="371" t="s">
        <v>370</v>
      </c>
      <c r="D44" s="381">
        <f>SUM('Sources &amp; Uses (P3)'!C94:C97)</f>
        <v>39200</v>
      </c>
      <c r="E44" s="371"/>
    </row>
    <row r="45" ht="13.5" customHeight="1">
      <c r="C45" s="375" t="s">
        <v>371</v>
      </c>
      <c r="D45" s="376">
        <f>SUM(D42:D44)</f>
        <v>308575.7879</v>
      </c>
    </row>
    <row r="46" ht="13.5" customHeight="1"/>
    <row r="47" ht="13.5" customHeight="1">
      <c r="C47" s="375" t="s">
        <v>372</v>
      </c>
      <c r="D47" s="376">
        <f>D45</f>
        <v>308575.7879</v>
      </c>
    </row>
    <row r="48" ht="13.5" customHeight="1">
      <c r="C48" s="35" t="s">
        <v>373</v>
      </c>
      <c r="D48" s="377">
        <v>12.0</v>
      </c>
      <c r="E48" s="35" t="s">
        <v>604</v>
      </c>
    </row>
    <row r="49" ht="13.5" customHeight="1">
      <c r="C49" s="35" t="s">
        <v>375</v>
      </c>
      <c r="D49" s="378">
        <v>0.05</v>
      </c>
      <c r="E49" s="35" t="s">
        <v>604</v>
      </c>
    </row>
    <row r="50" ht="13.5" customHeight="1">
      <c r="C50" s="375" t="s">
        <v>376</v>
      </c>
      <c r="D50" s="376">
        <f>D47*D49/12*D48</f>
        <v>15428.78939</v>
      </c>
    </row>
    <row r="51" ht="13.5" customHeight="1"/>
    <row r="52" ht="13.5" customHeight="1">
      <c r="C52" s="35" t="s">
        <v>377</v>
      </c>
      <c r="D52" s="378">
        <v>0.01</v>
      </c>
      <c r="E52" s="35" t="s">
        <v>604</v>
      </c>
    </row>
    <row r="53" ht="13.5" customHeight="1">
      <c r="C53" s="375" t="s">
        <v>378</v>
      </c>
      <c r="D53" s="376">
        <f>D52*D47</f>
        <v>3085.757879</v>
      </c>
    </row>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sheetViews>
  <sheetFormatPr customHeight="1" defaultColWidth="12.63" defaultRowHeight="15.0"/>
  <cols>
    <col customWidth="1" min="1" max="1" width="3.88"/>
    <col customWidth="1" min="2" max="2" width="10.88"/>
    <col customWidth="1" min="3" max="3" width="23.38"/>
    <col customWidth="1" min="4" max="4" width="68.5"/>
    <col customWidth="1" min="5" max="5" width="17.63"/>
    <col customWidth="1" min="6" max="7" width="10.88"/>
    <col customWidth="1" min="8" max="25" width="10.63"/>
  </cols>
  <sheetData>
    <row r="1">
      <c r="A1" s="13"/>
      <c r="B1" s="13"/>
      <c r="C1" s="13"/>
      <c r="D1" s="13"/>
      <c r="E1" s="13"/>
      <c r="F1" s="13"/>
      <c r="G1" s="13"/>
      <c r="H1" s="13"/>
      <c r="I1" s="13"/>
      <c r="J1" s="13"/>
      <c r="K1" s="13"/>
      <c r="L1" s="13"/>
      <c r="M1" s="13"/>
      <c r="N1" s="13"/>
      <c r="O1" s="13"/>
      <c r="P1" s="13"/>
      <c r="Q1" s="13"/>
      <c r="R1" s="13"/>
      <c r="S1" s="13"/>
      <c r="T1" s="13"/>
      <c r="U1" s="13"/>
      <c r="V1" s="13"/>
      <c r="W1" s="13"/>
      <c r="X1" s="13"/>
      <c r="Y1" s="13"/>
      <c r="Z1" s="13"/>
    </row>
    <row r="2">
      <c r="A2" s="13"/>
      <c r="B2" s="14" t="s">
        <v>16</v>
      </c>
      <c r="C2" s="15"/>
      <c r="D2" s="13"/>
      <c r="E2" s="13"/>
      <c r="F2" s="13"/>
      <c r="G2" s="13"/>
      <c r="H2" s="13"/>
      <c r="I2" s="13"/>
      <c r="J2" s="13"/>
      <c r="K2" s="13"/>
      <c r="L2" s="13"/>
      <c r="M2" s="13"/>
      <c r="N2" s="13"/>
      <c r="O2" s="13"/>
      <c r="P2" s="13"/>
      <c r="Q2" s="13"/>
      <c r="R2" s="13"/>
      <c r="S2" s="13"/>
      <c r="T2" s="13"/>
      <c r="U2" s="13"/>
      <c r="V2" s="13"/>
      <c r="W2" s="13"/>
      <c r="X2" s="13"/>
      <c r="Y2" s="13"/>
      <c r="Z2" s="13"/>
    </row>
    <row r="3">
      <c r="A3" s="13"/>
      <c r="B3" s="16" t="s">
        <v>17</v>
      </c>
      <c r="C3" s="15"/>
      <c r="D3" s="13"/>
      <c r="E3" s="13"/>
      <c r="F3" s="13"/>
      <c r="G3" s="13"/>
      <c r="H3" s="13"/>
      <c r="I3" s="13"/>
      <c r="J3" s="13"/>
      <c r="K3" s="13"/>
      <c r="L3" s="13"/>
      <c r="M3" s="13"/>
      <c r="N3" s="13"/>
      <c r="O3" s="13"/>
      <c r="P3" s="13"/>
      <c r="Q3" s="13"/>
      <c r="R3" s="13"/>
      <c r="S3" s="13"/>
      <c r="T3" s="13"/>
      <c r="U3" s="13"/>
      <c r="V3" s="13"/>
      <c r="W3" s="13"/>
      <c r="X3" s="13"/>
      <c r="Y3" s="13"/>
      <c r="Z3" s="13"/>
    </row>
    <row r="4">
      <c r="A4" s="13"/>
      <c r="B4" s="13"/>
      <c r="C4" s="13"/>
      <c r="D4" s="13"/>
      <c r="E4" s="13"/>
      <c r="F4" s="13"/>
      <c r="G4" s="13"/>
      <c r="H4" s="13"/>
      <c r="I4" s="13"/>
      <c r="J4" s="13"/>
      <c r="K4" s="13"/>
      <c r="L4" s="13"/>
      <c r="M4" s="13"/>
      <c r="N4" s="13"/>
      <c r="O4" s="13"/>
      <c r="P4" s="13"/>
      <c r="Q4" s="13"/>
      <c r="R4" s="13"/>
      <c r="S4" s="13"/>
      <c r="T4" s="13"/>
      <c r="U4" s="13"/>
      <c r="V4" s="13"/>
      <c r="W4" s="13"/>
      <c r="X4" s="13"/>
      <c r="Y4" s="13"/>
      <c r="Z4" s="13"/>
    </row>
    <row r="5">
      <c r="A5" s="13"/>
      <c r="B5" s="13"/>
      <c r="C5" s="13"/>
      <c r="D5" s="13"/>
      <c r="E5" s="13"/>
      <c r="F5" s="13"/>
      <c r="G5" s="13"/>
      <c r="H5" s="13"/>
      <c r="I5" s="13"/>
      <c r="J5" s="13"/>
      <c r="K5" s="13"/>
      <c r="L5" s="13"/>
      <c r="M5" s="13"/>
      <c r="N5" s="13"/>
      <c r="O5" s="13"/>
      <c r="P5" s="13"/>
      <c r="Q5" s="13"/>
      <c r="R5" s="13"/>
      <c r="S5" s="13"/>
      <c r="T5" s="13"/>
      <c r="U5" s="13"/>
      <c r="V5" s="13"/>
      <c r="W5" s="13"/>
      <c r="X5" s="13"/>
      <c r="Y5" s="13"/>
      <c r="Z5" s="13"/>
    </row>
    <row r="6" ht="31.5" customHeight="1">
      <c r="A6" s="13"/>
      <c r="B6" s="17" t="s">
        <v>18</v>
      </c>
      <c r="F6" s="13"/>
      <c r="G6" s="13"/>
      <c r="H6" s="13"/>
      <c r="I6" s="13"/>
      <c r="J6" s="13"/>
      <c r="K6" s="13"/>
      <c r="L6" s="13"/>
      <c r="M6" s="13"/>
      <c r="N6" s="13"/>
      <c r="O6" s="13"/>
      <c r="P6" s="13"/>
      <c r="Q6" s="13"/>
      <c r="R6" s="13"/>
      <c r="S6" s="13"/>
      <c r="T6" s="13"/>
      <c r="U6" s="13"/>
      <c r="V6" s="13"/>
      <c r="W6" s="13"/>
      <c r="X6" s="13"/>
      <c r="Y6" s="13"/>
      <c r="Z6" s="13"/>
    </row>
    <row r="7">
      <c r="A7" s="13"/>
      <c r="B7" s="13"/>
      <c r="C7" s="13"/>
      <c r="D7" s="18"/>
      <c r="E7" s="13"/>
      <c r="F7" s="13"/>
      <c r="G7" s="13"/>
      <c r="H7" s="13"/>
      <c r="I7" s="13"/>
      <c r="J7" s="13"/>
      <c r="K7" s="13"/>
      <c r="L7" s="13"/>
      <c r="M7" s="13"/>
      <c r="N7" s="13"/>
      <c r="O7" s="13"/>
      <c r="P7" s="13"/>
      <c r="Q7" s="13"/>
      <c r="R7" s="13"/>
      <c r="S7" s="13"/>
      <c r="T7" s="13"/>
      <c r="U7" s="13"/>
      <c r="V7" s="13"/>
      <c r="W7" s="13"/>
      <c r="X7" s="13"/>
      <c r="Y7" s="13"/>
      <c r="Z7" s="13"/>
    </row>
    <row r="8">
      <c r="A8" s="13"/>
      <c r="B8" s="19" t="s">
        <v>19</v>
      </c>
      <c r="C8" s="19" t="s">
        <v>20</v>
      </c>
      <c r="D8" s="20" t="s">
        <v>21</v>
      </c>
      <c r="E8" s="21" t="s">
        <v>22</v>
      </c>
      <c r="F8" s="13"/>
      <c r="G8" s="13"/>
      <c r="H8" s="13"/>
      <c r="I8" s="13"/>
      <c r="J8" s="13"/>
      <c r="K8" s="13"/>
      <c r="L8" s="13"/>
      <c r="M8" s="13"/>
      <c r="N8" s="13"/>
      <c r="O8" s="13"/>
      <c r="P8" s="13"/>
      <c r="Q8" s="13"/>
      <c r="R8" s="13"/>
      <c r="S8" s="13"/>
      <c r="T8" s="13"/>
      <c r="U8" s="13"/>
      <c r="V8" s="13"/>
      <c r="W8" s="13"/>
      <c r="X8" s="13"/>
      <c r="Y8" s="13"/>
      <c r="Z8" s="13"/>
    </row>
    <row r="9" ht="63.0" customHeight="1">
      <c r="A9" s="13"/>
      <c r="B9" s="22" t="s">
        <v>23</v>
      </c>
      <c r="C9" s="23" t="s">
        <v>24</v>
      </c>
      <c r="D9" s="24" t="s">
        <v>25</v>
      </c>
      <c r="E9" s="25" t="s">
        <v>26</v>
      </c>
      <c r="F9" s="13"/>
      <c r="G9" s="13"/>
      <c r="H9" s="13"/>
      <c r="I9" s="13"/>
      <c r="J9" s="13"/>
      <c r="K9" s="13"/>
      <c r="L9" s="13"/>
      <c r="M9" s="13"/>
      <c r="N9" s="13"/>
      <c r="O9" s="13"/>
      <c r="P9" s="13"/>
      <c r="Q9" s="13"/>
      <c r="R9" s="13"/>
      <c r="S9" s="13"/>
      <c r="T9" s="13"/>
      <c r="U9" s="13"/>
      <c r="V9" s="13"/>
      <c r="W9" s="13"/>
      <c r="X9" s="13"/>
      <c r="Y9" s="13"/>
      <c r="Z9" s="13"/>
    </row>
    <row r="10" ht="63.0" customHeight="1">
      <c r="A10" s="13"/>
      <c r="B10" s="26" t="s">
        <v>27</v>
      </c>
      <c r="C10" s="27" t="s">
        <v>28</v>
      </c>
      <c r="D10" s="28" t="s">
        <v>29</v>
      </c>
      <c r="E10" s="29" t="s">
        <v>30</v>
      </c>
      <c r="F10" s="13"/>
      <c r="G10" s="13"/>
      <c r="H10" s="13"/>
      <c r="I10" s="13"/>
      <c r="J10" s="13"/>
      <c r="K10" s="13"/>
      <c r="L10" s="13"/>
      <c r="M10" s="13"/>
      <c r="N10" s="13"/>
      <c r="O10" s="13"/>
      <c r="P10" s="13"/>
      <c r="Q10" s="13"/>
      <c r="R10" s="13"/>
      <c r="S10" s="13"/>
      <c r="T10" s="13"/>
      <c r="U10" s="13"/>
      <c r="V10" s="13"/>
      <c r="W10" s="13"/>
      <c r="X10" s="13"/>
      <c r="Y10" s="13"/>
      <c r="Z10" s="13"/>
    </row>
    <row r="11" ht="63.0" customHeight="1">
      <c r="A11" s="13"/>
      <c r="B11" s="26">
        <v>2.0</v>
      </c>
      <c r="C11" s="27" t="s">
        <v>31</v>
      </c>
      <c r="D11" s="30" t="s">
        <v>32</v>
      </c>
      <c r="E11" s="29" t="s">
        <v>33</v>
      </c>
      <c r="F11" s="13"/>
      <c r="G11" s="13"/>
      <c r="H11" s="13"/>
      <c r="I11" s="13"/>
      <c r="J11" s="13"/>
      <c r="K11" s="13"/>
      <c r="L11" s="13"/>
      <c r="M11" s="13"/>
      <c r="N11" s="13"/>
      <c r="O11" s="13"/>
      <c r="P11" s="13"/>
      <c r="Q11" s="13"/>
      <c r="R11" s="13"/>
      <c r="S11" s="13"/>
      <c r="T11" s="13"/>
      <c r="U11" s="13"/>
      <c r="V11" s="13"/>
      <c r="W11" s="13"/>
      <c r="X11" s="13"/>
      <c r="Y11" s="13"/>
      <c r="Z11" s="13"/>
    </row>
    <row r="12" ht="63.0" customHeight="1">
      <c r="A12" s="13"/>
      <c r="B12" s="26">
        <v>2.0</v>
      </c>
      <c r="C12" s="27" t="s">
        <v>34</v>
      </c>
      <c r="D12" s="30" t="s">
        <v>35</v>
      </c>
      <c r="E12" s="30" t="s">
        <v>26</v>
      </c>
      <c r="F12" s="13"/>
      <c r="G12" s="13"/>
      <c r="H12" s="13"/>
      <c r="I12" s="13"/>
      <c r="J12" s="13"/>
      <c r="K12" s="13"/>
      <c r="L12" s="13"/>
      <c r="M12" s="13"/>
      <c r="N12" s="13"/>
      <c r="O12" s="13"/>
      <c r="P12" s="13"/>
      <c r="Q12" s="13"/>
      <c r="R12" s="13"/>
      <c r="S12" s="13"/>
      <c r="T12" s="13"/>
      <c r="U12" s="13"/>
      <c r="V12" s="13"/>
      <c r="W12" s="13"/>
      <c r="X12" s="13"/>
      <c r="Y12" s="13"/>
      <c r="Z12" s="13"/>
    </row>
    <row r="13" ht="63.0" customHeight="1">
      <c r="A13" s="13"/>
      <c r="B13" s="26">
        <v>3.0</v>
      </c>
      <c r="C13" s="27" t="s">
        <v>36</v>
      </c>
      <c r="D13" s="30" t="s">
        <v>37</v>
      </c>
      <c r="E13" s="29" t="s">
        <v>38</v>
      </c>
      <c r="F13" s="13"/>
      <c r="G13" s="13"/>
      <c r="H13" s="13"/>
      <c r="I13" s="13"/>
      <c r="J13" s="13"/>
      <c r="K13" s="13"/>
      <c r="L13" s="13"/>
      <c r="M13" s="13"/>
      <c r="N13" s="13"/>
      <c r="O13" s="13"/>
      <c r="P13" s="13"/>
      <c r="Q13" s="13"/>
      <c r="R13" s="13"/>
      <c r="S13" s="13"/>
      <c r="T13" s="13"/>
      <c r="U13" s="13"/>
      <c r="V13" s="13"/>
      <c r="W13" s="13"/>
      <c r="X13" s="13"/>
      <c r="Y13" s="13"/>
      <c r="Z13" s="13"/>
    </row>
    <row r="14" ht="63.0" customHeight="1">
      <c r="A14" s="13"/>
      <c r="B14" s="31">
        <v>3.0</v>
      </c>
      <c r="C14" s="32" t="s">
        <v>39</v>
      </c>
      <c r="D14" s="33" t="s">
        <v>40</v>
      </c>
      <c r="E14" s="33" t="s">
        <v>41</v>
      </c>
      <c r="F14" s="13"/>
      <c r="G14" s="13"/>
      <c r="H14" s="13"/>
      <c r="I14" s="13"/>
      <c r="J14" s="13"/>
      <c r="K14" s="13"/>
      <c r="L14" s="13"/>
      <c r="M14" s="13"/>
      <c r="N14" s="13"/>
      <c r="O14" s="13"/>
      <c r="P14" s="13"/>
      <c r="Q14" s="13"/>
      <c r="R14" s="13"/>
      <c r="S14" s="13"/>
      <c r="T14" s="13"/>
      <c r="U14" s="13"/>
      <c r="V14" s="13"/>
      <c r="W14" s="13"/>
      <c r="X14" s="13"/>
      <c r="Y14" s="13"/>
      <c r="Z14" s="13"/>
    </row>
    <row r="15">
      <c r="A15" s="13"/>
      <c r="B15" s="34"/>
      <c r="C15" s="13"/>
      <c r="D15" s="13"/>
      <c r="E15" s="13"/>
      <c r="F15" s="13"/>
      <c r="G15" s="13"/>
      <c r="H15" s="13"/>
      <c r="I15" s="13"/>
      <c r="J15" s="13"/>
      <c r="K15" s="13"/>
      <c r="L15" s="13"/>
      <c r="M15" s="13"/>
      <c r="N15" s="13"/>
      <c r="O15" s="13"/>
      <c r="P15" s="13"/>
      <c r="Q15" s="13"/>
      <c r="R15" s="13"/>
      <c r="S15" s="13"/>
      <c r="T15" s="13"/>
      <c r="U15" s="13"/>
      <c r="V15" s="13"/>
      <c r="W15" s="13"/>
      <c r="X15" s="13"/>
      <c r="Y15" s="13"/>
      <c r="Z15" s="13"/>
    </row>
    <row r="16">
      <c r="A16" s="13"/>
      <c r="B16" s="34"/>
      <c r="C16" s="13"/>
      <c r="D16" s="13"/>
      <c r="E16" s="13"/>
      <c r="F16" s="13"/>
      <c r="G16" s="13"/>
      <c r="H16" s="13"/>
      <c r="I16" s="13"/>
      <c r="J16" s="13"/>
      <c r="K16" s="13"/>
      <c r="L16" s="13"/>
      <c r="M16" s="13"/>
      <c r="N16" s="13"/>
      <c r="O16" s="13"/>
      <c r="P16" s="13"/>
      <c r="Q16" s="13"/>
      <c r="R16" s="13"/>
      <c r="S16" s="13"/>
      <c r="T16" s="13"/>
      <c r="U16" s="13"/>
      <c r="V16" s="13"/>
      <c r="W16" s="13"/>
      <c r="X16" s="13"/>
      <c r="Y16" s="13"/>
      <c r="Z16" s="13"/>
    </row>
    <row r="17">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row>
    <row r="18">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row>
    <row r="19">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row>
    <row r="20">
      <c r="A20" s="13"/>
      <c r="B20" s="13"/>
      <c r="C20" s="13"/>
      <c r="D20" s="13"/>
      <c r="E20" s="13"/>
      <c r="F20" s="13"/>
      <c r="G20" s="13"/>
      <c r="H20" s="13"/>
      <c r="I20" s="13"/>
      <c r="J20" s="13"/>
      <c r="K20" s="13"/>
      <c r="L20" s="13"/>
      <c r="M20" s="13"/>
      <c r="N20" s="13"/>
      <c r="O20" s="13"/>
      <c r="P20" s="13"/>
      <c r="Q20" s="13"/>
      <c r="R20" s="13"/>
      <c r="S20" s="13"/>
      <c r="T20" s="13"/>
      <c r="U20" s="13"/>
      <c r="V20" s="13"/>
      <c r="W20" s="13"/>
      <c r="X20" s="13"/>
      <c r="Y20" s="13"/>
      <c r="Z20" s="13"/>
    </row>
    <row r="21" ht="15.75" customHeight="1">
      <c r="A21" s="13"/>
      <c r="B21" s="13"/>
      <c r="C21" s="13"/>
      <c r="D21" s="13"/>
      <c r="E21" s="13"/>
      <c r="F21" s="13"/>
      <c r="G21" s="13"/>
      <c r="H21" s="13"/>
      <c r="I21" s="13"/>
      <c r="J21" s="13"/>
      <c r="K21" s="13"/>
      <c r="L21" s="13"/>
      <c r="M21" s="13"/>
      <c r="N21" s="13"/>
      <c r="O21" s="13"/>
      <c r="P21" s="13"/>
      <c r="Q21" s="13"/>
      <c r="R21" s="13"/>
      <c r="S21" s="13"/>
      <c r="T21" s="13"/>
      <c r="U21" s="13"/>
      <c r="V21" s="13"/>
      <c r="W21" s="13"/>
      <c r="X21" s="13"/>
      <c r="Y21" s="13"/>
      <c r="Z21" s="13"/>
    </row>
    <row r="22" ht="15.75" customHeight="1">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row>
    <row r="23" ht="15.75" customHeight="1">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row>
    <row r="24" ht="15.75" customHeight="1">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row>
    <row r="25" ht="15.75" customHeight="1">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ht="15.75" customHeight="1">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ht="15.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ht="15.75" customHeight="1">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ht="15.75" customHeight="1">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ht="15.75" customHeight="1">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ht="15.75" customHeight="1">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ht="15.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ht="15.75" customHeight="1">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ht="15.75" customHeight="1">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ht="15.75" customHeight="1">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ht="15.75" customHeight="1">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ht="15.75" customHeight="1">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ht="15.75" customHeight="1">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ht="15.75" customHeight="1">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ht="15.75" customHeight="1">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ht="15.75" customHeight="1">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ht="15.75" customHeight="1">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ht="15.7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ht="15.7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ht="15.7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ht="15.75"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ht="15.75"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ht="15.75"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ht="15.7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ht="15.7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ht="15.7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ht="15.7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ht="15.7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ht="15.7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ht="15.7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ht="15.7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ht="15.7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ht="15.7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ht="15.75"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ht="15.75"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ht="15.7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ht="15.7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ht="15.75"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ht="15.7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ht="15.7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ht="15.7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ht="15.75"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ht="15.75"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ht="15.75"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ht="15.75"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ht="15.75"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ht="15.7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ht="15.7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ht="15.7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ht="15.7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ht="15.7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ht="15.7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ht="15.7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ht="15.7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ht="15.7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ht="15.7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ht="15.7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ht="15.7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ht="15.7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ht="15.7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ht="15.7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ht="15.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ht="15.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ht="15.7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ht="15.7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ht="15.7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ht="15.7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ht="15.7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ht="15.7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ht="15.7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ht="15.7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ht="15.7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ht="15.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ht="15.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ht="15.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ht="15.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ht="15.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ht="15.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ht="15.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ht="15.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ht="15.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ht="15.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ht="15.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ht="15.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ht="15.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ht="15.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ht="15.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ht="15.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ht="15.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ht="15.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ht="15.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ht="15.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ht="15.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ht="15.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ht="15.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ht="15.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ht="15.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ht="15.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5.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6:E6"/>
  </mergeCells>
  <hyperlinks>
    <hyperlink display="Phase 1B pro forma" location="'Sources &amp; Uses (P1B)'!A1" ref="E10"/>
    <hyperlink display="Phase 2 Affordable Family pro forma" location="'Sources &amp; Uses (P2)'!A1" ref="E11"/>
    <hyperlink display="Phase 3 Affordable Studios pro forma" location="'Sources &amp; Uses (P3)'!A1" ref="E13"/>
  </hyperlinks>
  <printOptions/>
  <pageMargins bottom="0.75" footer="0.0" header="0.0" left="0.7" right="0.7" top="0.75"/>
  <pageSetup orientation="landscape"/>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7CAAC"/>
    <pageSetUpPr/>
  </sheetPr>
  <sheetViews>
    <sheetView showGridLines="0" workbookViewId="0">
      <pane ySplit="3.0" topLeftCell="A4" activePane="bottomLeft" state="frozen"/>
      <selection activeCell="B5" sqref="B5" pane="bottomLeft"/>
    </sheetView>
  </sheetViews>
  <sheetFormatPr customHeight="1" defaultColWidth="12.63" defaultRowHeight="15.0"/>
  <cols>
    <col customWidth="1" min="1" max="2" width="2.63"/>
    <col customWidth="1" min="3" max="3" width="64.63"/>
    <col customWidth="1" min="4" max="4" width="14.38"/>
    <col customWidth="1" min="5" max="5" width="77.88"/>
    <col customWidth="1" min="6" max="7" width="7.63"/>
    <col customWidth="1" min="8" max="8" width="12.13"/>
    <col customWidth="1" min="9" max="9" width="7.63"/>
  </cols>
  <sheetData>
    <row r="1">
      <c r="C1" s="36" t="s">
        <v>301</v>
      </c>
      <c r="D1" s="37"/>
      <c r="E1" s="37"/>
    </row>
    <row r="2" ht="15.0" customHeight="1">
      <c r="C2" s="35"/>
      <c r="G2" s="39" t="s">
        <v>44</v>
      </c>
      <c r="H2" s="39"/>
    </row>
    <row r="3" ht="15.0" customHeight="1">
      <c r="B3" s="375" t="s">
        <v>398</v>
      </c>
      <c r="C3" s="375"/>
      <c r="D3" s="391" t="s">
        <v>399</v>
      </c>
      <c r="E3" s="375" t="s">
        <v>400</v>
      </c>
    </row>
    <row r="4" ht="15.0" customHeight="1">
      <c r="B4" s="369" t="s">
        <v>401</v>
      </c>
      <c r="C4" s="369"/>
      <c r="D4" s="370"/>
      <c r="E4" s="370"/>
    </row>
    <row r="5" ht="15.0" customHeight="1">
      <c r="B5" s="392"/>
      <c r="C5" s="393" t="s">
        <v>402</v>
      </c>
      <c r="D5" s="392"/>
      <c r="E5" s="392"/>
    </row>
    <row r="6" ht="15.0" customHeight="1">
      <c r="B6" s="371"/>
      <c r="C6" s="371" t="s">
        <v>605</v>
      </c>
      <c r="D6" s="371"/>
      <c r="E6" s="371"/>
    </row>
    <row r="7" ht="15.0" customHeight="1">
      <c r="C7" s="394" t="s">
        <v>606</v>
      </c>
      <c r="D7" s="377">
        <v>1657.0</v>
      </c>
      <c r="E7" s="35" t="s">
        <v>607</v>
      </c>
    </row>
    <row r="8" ht="15.0" customHeight="1">
      <c r="C8" s="394" t="s">
        <v>420</v>
      </c>
      <c r="D8" s="377">
        <v>1775.0</v>
      </c>
      <c r="E8" s="35" t="s">
        <v>607</v>
      </c>
    </row>
    <row r="9" ht="15.0" customHeight="1">
      <c r="C9" s="394" t="s">
        <v>422</v>
      </c>
      <c r="D9" s="377">
        <v>2130.0</v>
      </c>
      <c r="E9" s="35" t="s">
        <v>607</v>
      </c>
    </row>
    <row r="10" ht="15.0" customHeight="1">
      <c r="C10" s="394" t="s">
        <v>579</v>
      </c>
      <c r="D10" s="377">
        <v>2461.0</v>
      </c>
      <c r="E10" s="35" t="s">
        <v>607</v>
      </c>
    </row>
    <row r="11" ht="15.0" customHeight="1">
      <c r="C11" s="394"/>
      <c r="E11" s="35"/>
    </row>
    <row r="12" ht="15.0" customHeight="1">
      <c r="B12" s="371"/>
      <c r="C12" s="371" t="s">
        <v>608</v>
      </c>
      <c r="D12" s="371"/>
      <c r="E12" s="371"/>
    </row>
    <row r="13" ht="15.0" customHeight="1">
      <c r="C13" s="451">
        <v>0.3</v>
      </c>
      <c r="D13" s="383">
        <f t="shared" ref="D13:D16" si="1">C13/$C$15</f>
        <v>0.375</v>
      </c>
      <c r="E13" s="35"/>
    </row>
    <row r="14" ht="15.0" customHeight="1">
      <c r="C14" s="451">
        <v>0.5</v>
      </c>
      <c r="D14" s="383">
        <f t="shared" si="1"/>
        <v>0.625</v>
      </c>
      <c r="E14" s="35"/>
      <c r="I14" s="58"/>
    </row>
    <row r="15" ht="15.0" customHeight="1">
      <c r="C15" s="451">
        <v>0.8</v>
      </c>
      <c r="D15" s="383">
        <f t="shared" si="1"/>
        <v>1</v>
      </c>
      <c r="E15" s="35"/>
    </row>
    <row r="16" ht="15.0" customHeight="1">
      <c r="C16" s="451">
        <v>1.0</v>
      </c>
      <c r="D16" s="383">
        <f t="shared" si="1"/>
        <v>1.25</v>
      </c>
      <c r="E16" s="35"/>
    </row>
    <row r="17" ht="15.0" customHeight="1">
      <c r="C17" s="394"/>
      <c r="E17" s="35"/>
    </row>
    <row r="18" ht="15.0" customHeight="1">
      <c r="B18" s="371"/>
      <c r="C18" s="395" t="s">
        <v>609</v>
      </c>
      <c r="D18" s="371"/>
      <c r="E18" s="371"/>
    </row>
    <row r="19" ht="15.0" customHeight="1">
      <c r="C19" s="394" t="s">
        <v>606</v>
      </c>
      <c r="D19" s="377">
        <f>ROUND(1195*1.1,0)</f>
        <v>1315</v>
      </c>
      <c r="E19" s="35" t="s">
        <v>646</v>
      </c>
    </row>
    <row r="20" ht="15.0" customHeight="1">
      <c r="C20" s="394" t="s">
        <v>420</v>
      </c>
      <c r="D20" s="377">
        <f>ROUND(1250*1.1,0)</f>
        <v>1375</v>
      </c>
      <c r="E20" s="35" t="s">
        <v>646</v>
      </c>
    </row>
    <row r="21" ht="15.0" customHeight="1">
      <c r="C21" s="394" t="s">
        <v>422</v>
      </c>
      <c r="D21" s="377">
        <f>ROUND(1500*1.1,0)</f>
        <v>1650</v>
      </c>
      <c r="E21" s="35" t="s">
        <v>646</v>
      </c>
    </row>
    <row r="22" ht="15.0" customHeight="1">
      <c r="C22" s="394" t="s">
        <v>579</v>
      </c>
      <c r="D22" s="377">
        <f>ROUND(1850*1.1,0)</f>
        <v>2035</v>
      </c>
      <c r="E22" s="35" t="s">
        <v>646</v>
      </c>
    </row>
    <row r="23" ht="15.0" customHeight="1">
      <c r="C23" s="394"/>
      <c r="D23" s="35"/>
      <c r="E23" s="35"/>
    </row>
    <row r="24" ht="15.0" customHeight="1">
      <c r="B24" s="371"/>
      <c r="C24" s="395" t="s">
        <v>647</v>
      </c>
      <c r="D24" s="371"/>
      <c r="E24" s="371"/>
    </row>
    <row r="25" ht="15.0" customHeight="1">
      <c r="B25" s="35"/>
      <c r="C25" s="394" t="s">
        <v>606</v>
      </c>
      <c r="D25" s="377">
        <v>1107.0</v>
      </c>
      <c r="E25" s="35" t="s">
        <v>648</v>
      </c>
    </row>
    <row r="26" ht="15.0" customHeight="1">
      <c r="C26" s="394" t="s">
        <v>420</v>
      </c>
      <c r="D26" s="377">
        <v>1301.0</v>
      </c>
      <c r="E26" s="35" t="s">
        <v>648</v>
      </c>
    </row>
    <row r="27" ht="15.0" customHeight="1">
      <c r="C27" s="394" t="s">
        <v>422</v>
      </c>
      <c r="D27" s="377">
        <v>1515.0</v>
      </c>
      <c r="E27" s="35" t="s">
        <v>648</v>
      </c>
    </row>
    <row r="28" ht="15.0" customHeight="1">
      <c r="C28" s="394" t="s">
        <v>579</v>
      </c>
      <c r="D28" s="377">
        <v>1991.0</v>
      </c>
      <c r="E28" s="35" t="s">
        <v>648</v>
      </c>
    </row>
    <row r="29" ht="15.0" customHeight="1">
      <c r="C29" s="394"/>
      <c r="D29" s="35"/>
      <c r="E29" s="35"/>
    </row>
    <row r="30" ht="15.0" customHeight="1">
      <c r="B30" s="371"/>
      <c r="C30" s="395" t="s">
        <v>408</v>
      </c>
      <c r="D30" s="371"/>
      <c r="E30" s="371"/>
    </row>
    <row r="31" ht="15.0" customHeight="1">
      <c r="B31" s="35"/>
      <c r="C31" s="394" t="s">
        <v>610</v>
      </c>
      <c r="D31" s="377">
        <v>496.0</v>
      </c>
      <c r="E31" s="35" t="s">
        <v>485</v>
      </c>
    </row>
    <row r="32" ht="15.0" customHeight="1">
      <c r="C32" s="394" t="s">
        <v>409</v>
      </c>
      <c r="D32" s="377">
        <v>650.0</v>
      </c>
      <c r="E32" s="35" t="s">
        <v>485</v>
      </c>
    </row>
    <row r="33" ht="15.0" customHeight="1">
      <c r="C33" s="394" t="s">
        <v>410</v>
      </c>
      <c r="D33" s="377">
        <v>960.0</v>
      </c>
      <c r="E33" s="35" t="s">
        <v>485</v>
      </c>
    </row>
    <row r="34" ht="15.0" customHeight="1">
      <c r="C34" s="394" t="s">
        <v>611</v>
      </c>
      <c r="D34" s="377">
        <v>960.0</v>
      </c>
      <c r="E34" s="35" t="s">
        <v>485</v>
      </c>
    </row>
    <row r="35" ht="15.75" customHeight="1"/>
    <row r="36" ht="15.0" customHeight="1">
      <c r="B36" s="371"/>
      <c r="C36" s="371" t="s">
        <v>419</v>
      </c>
      <c r="D36" s="371"/>
      <c r="E36" s="371"/>
    </row>
    <row r="37" ht="15.0" customHeight="1">
      <c r="B37" s="35"/>
      <c r="C37" s="35" t="s">
        <v>606</v>
      </c>
      <c r="D37" s="397">
        <f t="array" ref="D37:D40">TRANSPOSE('DCHA Utility Allowances'!C19:F19)</f>
        <v>52</v>
      </c>
      <c r="E37" s="35" t="s">
        <v>421</v>
      </c>
    </row>
    <row r="38" ht="15.0" customHeight="1">
      <c r="C38" s="394" t="s">
        <v>420</v>
      </c>
      <c r="D38" s="397">
        <v>59.0</v>
      </c>
      <c r="E38" s="35" t="s">
        <v>421</v>
      </c>
    </row>
    <row r="39" ht="15.0" customHeight="1">
      <c r="C39" s="394" t="s">
        <v>422</v>
      </c>
      <c r="D39" s="397">
        <v>75.0</v>
      </c>
      <c r="E39" s="35" t="s">
        <v>421</v>
      </c>
    </row>
    <row r="40" ht="15.0" customHeight="1">
      <c r="C40" s="394" t="s">
        <v>579</v>
      </c>
      <c r="D40" s="397">
        <v>91.0</v>
      </c>
      <c r="E40" s="35" t="s">
        <v>421</v>
      </c>
    </row>
    <row r="41" ht="15.0" customHeight="1">
      <c r="C41" s="394"/>
      <c r="D41" s="380"/>
      <c r="E41" s="35"/>
    </row>
    <row r="42" ht="15.0" customHeight="1">
      <c r="B42" s="371"/>
      <c r="C42" s="395" t="s">
        <v>423</v>
      </c>
      <c r="D42" s="381"/>
      <c r="E42" s="371"/>
    </row>
    <row r="43" ht="15.0" customHeight="1">
      <c r="C43" s="394" t="s">
        <v>424</v>
      </c>
      <c r="D43" s="378">
        <v>0.07</v>
      </c>
      <c r="E43" s="35" t="s">
        <v>425</v>
      </c>
    </row>
    <row r="44" ht="15.0" customHeight="1">
      <c r="C44" s="394"/>
      <c r="D44" s="380"/>
    </row>
    <row r="45" ht="15.0" customHeight="1">
      <c r="B45" s="392"/>
      <c r="C45" s="398" t="s">
        <v>321</v>
      </c>
      <c r="D45" s="399"/>
      <c r="E45" s="392"/>
    </row>
    <row r="46" ht="15.0" customHeight="1">
      <c r="C46" s="394" t="s">
        <v>426</v>
      </c>
      <c r="D46" s="397">
        <v>5.0</v>
      </c>
    </row>
    <row r="47" ht="15.0" customHeight="1">
      <c r="C47" s="394"/>
      <c r="D47" s="380"/>
    </row>
    <row r="48" ht="15.75" customHeight="1"/>
    <row r="49" ht="15.0" customHeight="1">
      <c r="B49" s="392"/>
      <c r="C49" s="393" t="s">
        <v>182</v>
      </c>
      <c r="D49" s="392"/>
      <c r="E49" s="392"/>
    </row>
    <row r="50" ht="15.75" customHeight="1">
      <c r="B50" s="371"/>
      <c r="C50" s="371" t="s">
        <v>259</v>
      </c>
      <c r="D50" s="371"/>
      <c r="E50" s="371"/>
    </row>
    <row r="51" ht="15.75" customHeight="1">
      <c r="C51" s="394" t="s">
        <v>429</v>
      </c>
      <c r="D51" s="378">
        <v>0.05</v>
      </c>
      <c r="E51" s="35" t="s">
        <v>430</v>
      </c>
    </row>
    <row r="52" ht="15.75" customHeight="1">
      <c r="C52" s="35" t="s">
        <v>264</v>
      </c>
      <c r="D52" s="397">
        <v>80000.0</v>
      </c>
      <c r="E52" s="35" t="s">
        <v>431</v>
      </c>
    </row>
    <row r="53" ht="15.75" customHeight="1">
      <c r="C53" s="35" t="s">
        <v>265</v>
      </c>
      <c r="D53" s="397">
        <v>10000.0</v>
      </c>
      <c r="E53" s="35" t="s">
        <v>430</v>
      </c>
    </row>
    <row r="54" ht="15.75" customHeight="1">
      <c r="C54" s="35" t="s">
        <v>266</v>
      </c>
      <c r="D54" s="397">
        <v>10000.0</v>
      </c>
      <c r="E54" s="35" t="s">
        <v>430</v>
      </c>
    </row>
    <row r="55" ht="15.75" customHeight="1">
      <c r="C55" s="35" t="s">
        <v>267</v>
      </c>
      <c r="D55" s="397">
        <v>5000.0</v>
      </c>
      <c r="E55" s="35" t="s">
        <v>430</v>
      </c>
    </row>
    <row r="56" ht="15.75" customHeight="1">
      <c r="C56" s="35" t="s">
        <v>432</v>
      </c>
      <c r="D56" s="397">
        <f>'OpEx Comps'!N12</f>
        <v>150.8064516</v>
      </c>
      <c r="E56" s="35" t="s">
        <v>430</v>
      </c>
    </row>
    <row r="57" ht="15.75" customHeight="1"/>
    <row r="58" ht="15.75" customHeight="1">
      <c r="B58" s="371"/>
      <c r="C58" s="371" t="s">
        <v>270</v>
      </c>
      <c r="D58" s="371"/>
      <c r="E58" s="371"/>
    </row>
    <row r="59" ht="15.75" customHeight="1">
      <c r="C59" s="394" t="s">
        <v>433</v>
      </c>
      <c r="D59" s="397">
        <v>300.0</v>
      </c>
      <c r="E59" s="35" t="s">
        <v>649</v>
      </c>
    </row>
    <row r="60" ht="15.75" customHeight="1">
      <c r="C60" s="394" t="s">
        <v>434</v>
      </c>
      <c r="D60" s="378">
        <v>0.4</v>
      </c>
      <c r="E60" s="35" t="s">
        <v>347</v>
      </c>
    </row>
    <row r="61" ht="15.75" customHeight="1">
      <c r="C61" s="394" t="s">
        <v>435</v>
      </c>
      <c r="D61" s="397">
        <v>400.0</v>
      </c>
      <c r="E61" s="35" t="s">
        <v>650</v>
      </c>
    </row>
    <row r="62" ht="15.75" customHeight="1">
      <c r="C62" s="394" t="s">
        <v>436</v>
      </c>
      <c r="D62" s="378">
        <v>0.8</v>
      </c>
      <c r="E62" s="35" t="s">
        <v>347</v>
      </c>
    </row>
    <row r="63" ht="15.75" customHeight="1">
      <c r="C63" s="35" t="s">
        <v>437</v>
      </c>
      <c r="D63" s="397">
        <v>0.0</v>
      </c>
      <c r="E63" s="35" t="s">
        <v>438</v>
      </c>
    </row>
    <row r="64" ht="15.75" customHeight="1"/>
    <row r="65" ht="15.75" customHeight="1">
      <c r="B65" s="371"/>
      <c r="C65" s="371" t="s">
        <v>275</v>
      </c>
      <c r="D65" s="371"/>
      <c r="E65" s="371"/>
    </row>
    <row r="66" ht="15.75" customHeight="1">
      <c r="C66" s="35" t="s">
        <v>439</v>
      </c>
      <c r="D66" s="397">
        <v>70000.0</v>
      </c>
      <c r="E66" s="35" t="s">
        <v>612</v>
      </c>
    </row>
    <row r="67" ht="15.75" customHeight="1">
      <c r="C67" s="35" t="s">
        <v>441</v>
      </c>
      <c r="D67" s="397">
        <v>60.0</v>
      </c>
      <c r="E67" s="35" t="s">
        <v>430</v>
      </c>
    </row>
    <row r="68" ht="15.75" customHeight="1">
      <c r="C68" s="35" t="s">
        <v>442</v>
      </c>
      <c r="D68" s="397">
        <v>30.0</v>
      </c>
      <c r="E68" s="35" t="s">
        <v>430</v>
      </c>
    </row>
    <row r="69" ht="15.75" customHeight="1">
      <c r="C69" s="35" t="s">
        <v>443</v>
      </c>
      <c r="D69" s="397">
        <v>300.0</v>
      </c>
      <c r="E69" s="35" t="s">
        <v>430</v>
      </c>
    </row>
    <row r="70" ht="15.75" customHeight="1">
      <c r="C70" s="35" t="s">
        <v>444</v>
      </c>
      <c r="D70" s="397">
        <v>30.0</v>
      </c>
      <c r="E70" s="35" t="s">
        <v>430</v>
      </c>
    </row>
    <row r="71" ht="15.75" customHeight="1">
      <c r="C71" s="35" t="s">
        <v>445</v>
      </c>
      <c r="D71" s="397">
        <v>60.0</v>
      </c>
      <c r="E71" s="35" t="s">
        <v>430</v>
      </c>
    </row>
    <row r="72" ht="15.75" customHeight="1">
      <c r="C72" s="35" t="s">
        <v>446</v>
      </c>
      <c r="D72" s="397">
        <v>60.0</v>
      </c>
      <c r="E72" s="35" t="s">
        <v>430</v>
      </c>
    </row>
    <row r="73" ht="15.75" customHeight="1">
      <c r="C73" s="35" t="s">
        <v>447</v>
      </c>
      <c r="D73" s="397">
        <v>30.0</v>
      </c>
      <c r="E73" s="35" t="s">
        <v>430</v>
      </c>
    </row>
    <row r="74" ht="15.75" customHeight="1">
      <c r="C74" s="35" t="s">
        <v>448</v>
      </c>
      <c r="D74" s="397">
        <v>25.0</v>
      </c>
      <c r="E74" s="35" t="s">
        <v>449</v>
      </c>
    </row>
    <row r="75" ht="15.75" customHeight="1"/>
    <row r="76" ht="15.75" customHeight="1">
      <c r="B76" s="371"/>
      <c r="C76" s="371" t="s">
        <v>286</v>
      </c>
      <c r="D76" s="371"/>
      <c r="E76" s="371"/>
    </row>
    <row r="77" ht="15.75" customHeight="1">
      <c r="B77" s="35"/>
      <c r="C77" s="35" t="s">
        <v>613</v>
      </c>
      <c r="D77" s="389">
        <v>0.061</v>
      </c>
      <c r="E77" s="35" t="s">
        <v>614</v>
      </c>
    </row>
    <row r="78" ht="15.75" customHeight="1">
      <c r="B78" s="35"/>
      <c r="C78" s="35" t="s">
        <v>381</v>
      </c>
      <c r="D78" s="397">
        <f>noi_three</f>
        <v>304089.7085</v>
      </c>
      <c r="E78" s="35"/>
    </row>
    <row r="79" ht="15.75" customHeight="1">
      <c r="B79" s="35"/>
      <c r="C79" s="35" t="s">
        <v>452</v>
      </c>
      <c r="D79" s="380">
        <f>D78/D77</f>
        <v>4985077.189</v>
      </c>
      <c r="E79" s="35"/>
      <c r="H79" s="372"/>
      <c r="K79" s="372"/>
    </row>
    <row r="80" ht="15.75" customHeight="1">
      <c r="B80" s="35"/>
      <c r="C80" s="35" t="s">
        <v>453</v>
      </c>
      <c r="D80" s="400">
        <v>0.018278463</v>
      </c>
      <c r="E80" s="35" t="s">
        <v>454</v>
      </c>
    </row>
    <row r="81" ht="15.75" customHeight="1">
      <c r="B81" s="35"/>
      <c r="C81" s="35" t="s">
        <v>651</v>
      </c>
      <c r="D81" s="380">
        <f>D80*D79</f>
        <v>91119.54895</v>
      </c>
      <c r="E81" s="35"/>
    </row>
    <row r="82" ht="15.75" customHeight="1">
      <c r="C82" s="35" t="s">
        <v>652</v>
      </c>
      <c r="D82" s="397">
        <v>171157.0</v>
      </c>
      <c r="E82" s="35" t="s">
        <v>456</v>
      </c>
    </row>
    <row r="83" ht="15.75" customHeight="1">
      <c r="C83" s="35" t="s">
        <v>56</v>
      </c>
      <c r="D83" s="397">
        <v>0.0</v>
      </c>
    </row>
    <row r="84" ht="15.75" customHeight="1"/>
    <row r="85" ht="15.75" customHeight="1">
      <c r="B85" s="371"/>
      <c r="C85" s="371" t="s">
        <v>290</v>
      </c>
      <c r="D85" s="371"/>
      <c r="E85" s="371"/>
    </row>
    <row r="86" ht="15.75" customHeight="1">
      <c r="C86" s="394" t="s">
        <v>457</v>
      </c>
      <c r="D86" s="397">
        <f>'OpEx Comps'!N16</f>
        <v>196.9602978</v>
      </c>
      <c r="E86" s="35" t="s">
        <v>430</v>
      </c>
    </row>
    <row r="87" ht="15.75" customHeight="1">
      <c r="C87" s="35" t="s">
        <v>458</v>
      </c>
      <c r="D87" s="397">
        <v>30.0</v>
      </c>
      <c r="E87" s="35" t="s">
        <v>459</v>
      </c>
    </row>
    <row r="88" ht="15.75" customHeight="1"/>
    <row r="89" ht="15.75" customHeight="1">
      <c r="B89" s="371"/>
      <c r="C89" s="371" t="s">
        <v>293</v>
      </c>
      <c r="D89" s="371"/>
      <c r="E89" s="371"/>
    </row>
    <row r="90" ht="15.75" customHeight="1">
      <c r="C90" s="35" t="s">
        <v>293</v>
      </c>
      <c r="D90" s="397">
        <v>10000.0</v>
      </c>
      <c r="E90" s="35" t="s">
        <v>615</v>
      </c>
    </row>
    <row r="91" ht="15.75" customHeight="1">
      <c r="C91" s="35" t="s">
        <v>463</v>
      </c>
      <c r="D91" s="397">
        <v>1000.0</v>
      </c>
      <c r="E91" s="35" t="s">
        <v>464</v>
      </c>
    </row>
    <row r="92" ht="15.75" customHeight="1"/>
    <row r="93" ht="15.75" customHeight="1">
      <c r="B93" s="371"/>
      <c r="C93" s="371" t="s">
        <v>141</v>
      </c>
      <c r="D93" s="371"/>
      <c r="E93" s="371"/>
    </row>
    <row r="94" ht="15.75" customHeight="1">
      <c r="C94" s="394" t="s">
        <v>465</v>
      </c>
      <c r="D94" s="397">
        <v>300.0</v>
      </c>
      <c r="E94" s="35" t="s">
        <v>616</v>
      </c>
    </row>
    <row r="95" ht="15.75" customHeight="1"/>
    <row r="96" ht="15.75" customHeight="1"/>
    <row r="97" ht="15.75" customHeight="1">
      <c r="B97" s="369" t="s">
        <v>467</v>
      </c>
      <c r="C97" s="370"/>
      <c r="D97" s="370"/>
      <c r="E97" s="370"/>
    </row>
    <row r="98" ht="15.75" customHeight="1">
      <c r="B98" s="392"/>
      <c r="C98" s="393" t="s">
        <v>468</v>
      </c>
      <c r="D98" s="392"/>
      <c r="E98" s="392"/>
    </row>
    <row r="99" ht="15.75" customHeight="1">
      <c r="B99" s="371"/>
      <c r="C99" s="371" t="s">
        <v>47</v>
      </c>
      <c r="D99" s="371"/>
      <c r="E99" s="371"/>
    </row>
    <row r="100" ht="15.75" customHeight="1">
      <c r="C100" s="35" t="s">
        <v>469</v>
      </c>
      <c r="D100" s="397">
        <v>0.0</v>
      </c>
      <c r="E100" s="35" t="s">
        <v>470</v>
      </c>
    </row>
    <row r="101" ht="15.75" customHeight="1">
      <c r="C101" s="35" t="s">
        <v>471</v>
      </c>
      <c r="D101" s="397">
        <v>0.0</v>
      </c>
      <c r="E101" s="35" t="s">
        <v>470</v>
      </c>
    </row>
    <row r="102" ht="15.75" customHeight="1">
      <c r="C102" s="35"/>
      <c r="D102" s="380"/>
      <c r="E102" s="35"/>
    </row>
    <row r="103" ht="15.75" customHeight="1">
      <c r="B103" s="371"/>
      <c r="C103" s="371" t="s">
        <v>49</v>
      </c>
      <c r="D103" s="381"/>
      <c r="E103" s="371"/>
    </row>
    <row r="104" ht="15.75" customHeight="1">
      <c r="B104" s="35"/>
      <c r="C104" s="35" t="s">
        <v>617</v>
      </c>
      <c r="D104" s="452">
        <f>48000*2</f>
        <v>96000</v>
      </c>
      <c r="E104" s="35" t="s">
        <v>618</v>
      </c>
    </row>
    <row r="105" ht="15.75" customHeight="1">
      <c r="B105" s="35"/>
      <c r="C105" s="35" t="s">
        <v>619</v>
      </c>
      <c r="D105" s="397">
        <v>12.0</v>
      </c>
      <c r="E105" s="35" t="s">
        <v>620</v>
      </c>
    </row>
    <row r="106" ht="15.75" customHeight="1">
      <c r="B106" s="35"/>
      <c r="C106" s="35" t="s">
        <v>621</v>
      </c>
      <c r="D106" s="378">
        <v>0.5</v>
      </c>
      <c r="E106" s="35"/>
    </row>
    <row r="107" ht="15.75" customHeight="1">
      <c r="C107" s="394" t="s">
        <v>472</v>
      </c>
      <c r="D107" s="397">
        <f>MEDIAN('Development Comps'!C25:F25)</f>
        <v>175000</v>
      </c>
      <c r="E107" s="401" t="s">
        <v>473</v>
      </c>
    </row>
    <row r="108" ht="15.75" customHeight="1">
      <c r="C108" s="394" t="s">
        <v>474</v>
      </c>
      <c r="D108" s="402">
        <f>(301.21/291.13)-1</f>
        <v>0.03462370762</v>
      </c>
      <c r="E108" s="401" t="s">
        <v>475</v>
      </c>
    </row>
    <row r="109" ht="15.75" customHeight="1">
      <c r="C109" s="394" t="s">
        <v>476</v>
      </c>
      <c r="D109" s="378">
        <v>0.1</v>
      </c>
      <c r="E109" s="401" t="s">
        <v>477</v>
      </c>
    </row>
    <row r="110" ht="15.75" customHeight="1">
      <c r="C110" s="394" t="s">
        <v>653</v>
      </c>
      <c r="D110" s="378">
        <v>0.08</v>
      </c>
      <c r="E110" s="401" t="s">
        <v>464</v>
      </c>
    </row>
    <row r="111" ht="15.75" customHeight="1">
      <c r="C111" s="394" t="s">
        <v>478</v>
      </c>
      <c r="D111" s="378">
        <v>0.05</v>
      </c>
      <c r="E111" s="35" t="s">
        <v>479</v>
      </c>
    </row>
    <row r="112" ht="15.75" customHeight="1">
      <c r="C112" s="394" t="s">
        <v>480</v>
      </c>
      <c r="D112" s="378">
        <v>0.05</v>
      </c>
      <c r="E112" s="35" t="s">
        <v>479</v>
      </c>
    </row>
    <row r="113" ht="15.75" customHeight="1">
      <c r="C113" s="394" t="s">
        <v>481</v>
      </c>
      <c r="D113" s="378">
        <v>0.02</v>
      </c>
      <c r="E113" s="35" t="s">
        <v>479</v>
      </c>
    </row>
    <row r="114" ht="15.75" customHeight="1">
      <c r="A114" s="453"/>
      <c r="B114" s="453"/>
      <c r="C114" s="394" t="s">
        <v>623</v>
      </c>
      <c r="D114" s="397">
        <v>500000.0</v>
      </c>
      <c r="E114" s="35" t="s">
        <v>624</v>
      </c>
      <c r="F114" s="453"/>
      <c r="G114" s="453"/>
      <c r="I114" s="453"/>
      <c r="J114" s="453"/>
      <c r="K114" s="453"/>
      <c r="L114" s="453"/>
      <c r="M114" s="453"/>
      <c r="N114" s="453"/>
      <c r="O114" s="453"/>
      <c r="P114" s="453"/>
      <c r="Q114" s="453"/>
      <c r="R114" s="453"/>
      <c r="S114" s="453"/>
      <c r="T114" s="453"/>
      <c r="U114" s="453"/>
      <c r="V114" s="453"/>
      <c r="W114" s="453"/>
      <c r="X114" s="453"/>
      <c r="Y114" s="453"/>
      <c r="Z114" s="453"/>
    </row>
    <row r="115" ht="15.75" customHeight="1">
      <c r="C115" s="394" t="s">
        <v>482</v>
      </c>
      <c r="D115" s="378">
        <v>0.05</v>
      </c>
    </row>
    <row r="116" ht="15.75" customHeight="1"/>
    <row r="117" ht="15.75" customHeight="1">
      <c r="B117" s="371"/>
      <c r="C117" s="395" t="s">
        <v>101</v>
      </c>
      <c r="D117" s="381"/>
      <c r="E117" s="371"/>
    </row>
    <row r="118" ht="15.75" customHeight="1">
      <c r="B118" s="35"/>
      <c r="C118" s="394" t="s">
        <v>484</v>
      </c>
      <c r="D118" s="403">
        <v>28978.0</v>
      </c>
      <c r="E118" s="35" t="s">
        <v>485</v>
      </c>
    </row>
    <row r="119" ht="15.75" customHeight="1">
      <c r="B119" s="35"/>
      <c r="C119" s="394" t="s">
        <v>486</v>
      </c>
      <c r="D119" s="404">
        <v>0.8</v>
      </c>
      <c r="E119" s="35" t="s">
        <v>487</v>
      </c>
    </row>
    <row r="120" ht="15.75" customHeight="1">
      <c r="B120" s="35"/>
      <c r="C120" s="394" t="s">
        <v>488</v>
      </c>
      <c r="D120" s="405">
        <v>15.0</v>
      </c>
      <c r="E120" s="35" t="s">
        <v>489</v>
      </c>
    </row>
    <row r="121" ht="15.75" customHeight="1">
      <c r="B121" s="35"/>
      <c r="C121" s="394" t="s">
        <v>490</v>
      </c>
      <c r="D121" s="35">
        <f>D118*D119*D120/1000</f>
        <v>347.736</v>
      </c>
      <c r="E121" s="35"/>
    </row>
    <row r="122" ht="15.75" customHeight="1">
      <c r="B122" s="35"/>
      <c r="C122" s="394" t="s">
        <v>491</v>
      </c>
      <c r="D122" s="397">
        <f>230000/135</f>
        <v>1703.703704</v>
      </c>
      <c r="E122" s="35" t="s">
        <v>492</v>
      </c>
    </row>
    <row r="123" ht="15.75" customHeight="1">
      <c r="B123" s="35"/>
      <c r="C123" s="394" t="s">
        <v>493</v>
      </c>
      <c r="D123" s="380">
        <f>D121*D122</f>
        <v>592439.1111</v>
      </c>
      <c r="E123" s="35"/>
    </row>
    <row r="124" ht="15.75" customHeight="1">
      <c r="B124" s="35"/>
      <c r="C124" s="394"/>
      <c r="D124" s="380"/>
      <c r="E124" s="35"/>
    </row>
    <row r="125" ht="15.75" customHeight="1">
      <c r="B125" s="35"/>
      <c r="C125" s="394" t="s">
        <v>625</v>
      </c>
      <c r="D125" s="382">
        <v>33000.0</v>
      </c>
      <c r="E125" s="35" t="s">
        <v>626</v>
      </c>
    </row>
    <row r="126" ht="15.75" customHeight="1">
      <c r="B126" s="35"/>
      <c r="C126" s="394" t="s">
        <v>627</v>
      </c>
      <c r="D126" s="382">
        <v>185.0</v>
      </c>
      <c r="E126" s="35" t="s">
        <v>626</v>
      </c>
    </row>
    <row r="127" ht="15.75" customHeight="1">
      <c r="B127" s="35"/>
      <c r="C127" s="394" t="s">
        <v>628</v>
      </c>
      <c r="D127" s="382">
        <v>50000.0</v>
      </c>
      <c r="E127" s="35" t="s">
        <v>626</v>
      </c>
    </row>
    <row r="128" ht="15.75" customHeight="1">
      <c r="B128" s="35"/>
      <c r="C128" s="394" t="s">
        <v>629</v>
      </c>
      <c r="D128" s="380">
        <f>MIN(D125+D126*(D121-300),D127)</f>
        <v>41831.16</v>
      </c>
      <c r="E128" s="35"/>
    </row>
    <row r="129" ht="15.75" customHeight="1"/>
    <row r="130" ht="15.75" customHeight="1">
      <c r="B130" s="371"/>
      <c r="C130" s="395" t="s">
        <v>494</v>
      </c>
      <c r="D130" s="406"/>
      <c r="E130" s="371"/>
      <c r="K130" s="401"/>
    </row>
    <row r="131" ht="15.75" customHeight="1">
      <c r="C131" s="394" t="s">
        <v>495</v>
      </c>
      <c r="D131" s="402">
        <f>'Development Comps'!M56</f>
        <v>0.01526779588</v>
      </c>
      <c r="E131" s="35" t="s">
        <v>496</v>
      </c>
    </row>
    <row r="132" ht="15.75" customHeight="1">
      <c r="C132" s="394" t="s">
        <v>497</v>
      </c>
      <c r="D132" s="402">
        <f>'Development Comps'!M57</f>
        <v>0.002079227248</v>
      </c>
      <c r="E132" s="35" t="s">
        <v>496</v>
      </c>
    </row>
    <row r="133" ht="15.75" customHeight="1">
      <c r="C133" s="394" t="s">
        <v>498</v>
      </c>
      <c r="D133" s="402">
        <f>'Development Comps'!M58</f>
        <v>0.002809116163</v>
      </c>
      <c r="E133" s="35" t="s">
        <v>496</v>
      </c>
    </row>
    <row r="134" ht="15.75" customHeight="1">
      <c r="C134" s="394"/>
      <c r="D134" s="407" t="s">
        <v>297</v>
      </c>
    </row>
    <row r="135" ht="15.75" customHeight="1">
      <c r="B135" s="371"/>
      <c r="C135" s="371" t="s">
        <v>499</v>
      </c>
      <c r="D135" s="371"/>
      <c r="E135" s="371"/>
    </row>
    <row r="136" ht="15.75" customHeight="1">
      <c r="C136" s="35" t="s">
        <v>500</v>
      </c>
      <c r="D136" s="379">
        <v>0.01</v>
      </c>
      <c r="E136" s="35" t="s">
        <v>501</v>
      </c>
    </row>
    <row r="137" ht="15.75" customHeight="1">
      <c r="C137" s="35" t="s">
        <v>114</v>
      </c>
      <c r="D137" s="397">
        <f>'Loan Sizing (P3)'!D35</f>
        <v>1121698.923</v>
      </c>
      <c r="E137" s="35" t="s">
        <v>504</v>
      </c>
    </row>
    <row r="138" ht="15.75" customHeight="1">
      <c r="C138" s="35" t="s">
        <v>505</v>
      </c>
      <c r="D138" s="379">
        <f>'Development Comps'!M62</f>
        <v>0.003326556861</v>
      </c>
      <c r="E138" s="35" t="s">
        <v>496</v>
      </c>
    </row>
    <row r="139" ht="15.75" customHeight="1">
      <c r="C139" s="35" t="s">
        <v>506</v>
      </c>
      <c r="D139" s="379">
        <v>0.0</v>
      </c>
      <c r="E139" s="35" t="s">
        <v>464</v>
      </c>
    </row>
    <row r="140" ht="15.75" customHeight="1">
      <c r="C140" s="35" t="s">
        <v>117</v>
      </c>
      <c r="D140" s="397">
        <f>'Development Comps'!C81</f>
        <v>75000</v>
      </c>
      <c r="E140" s="35" t="s">
        <v>464</v>
      </c>
    </row>
    <row r="141" ht="15.75" customHeight="1">
      <c r="C141" s="35" t="s">
        <v>118</v>
      </c>
      <c r="D141" s="397">
        <f>'Development Comps'!L65*unit_three</f>
        <v>32651.98511</v>
      </c>
      <c r="E141" s="35" t="s">
        <v>507</v>
      </c>
    </row>
    <row r="142" ht="15.75" customHeight="1">
      <c r="C142" s="377" t="s">
        <v>508</v>
      </c>
      <c r="D142" s="397">
        <v>20000.0</v>
      </c>
    </row>
    <row r="143" ht="15.75" customHeight="1">
      <c r="C143" s="377" t="s">
        <v>509</v>
      </c>
      <c r="D143" s="397">
        <f>20000</f>
        <v>20000</v>
      </c>
      <c r="E143" s="35" t="s">
        <v>501</v>
      </c>
    </row>
    <row r="144" ht="15.75" customHeight="1">
      <c r="C144" s="377" t="s">
        <v>510</v>
      </c>
      <c r="D144" s="397">
        <f>500</f>
        <v>500</v>
      </c>
      <c r="E144" s="35" t="s">
        <v>501</v>
      </c>
    </row>
    <row r="145" ht="15.75" customHeight="1">
      <c r="C145" s="377" t="s">
        <v>511</v>
      </c>
      <c r="D145" s="397">
        <f>'Development Comps'!L66*unit_three</f>
        <v>75823.44491</v>
      </c>
      <c r="E145" s="35" t="s">
        <v>507</v>
      </c>
    </row>
    <row r="146" ht="15.75" customHeight="1"/>
    <row r="147" ht="15.75" customHeight="1">
      <c r="B147" s="371"/>
      <c r="C147" s="371" t="s">
        <v>512</v>
      </c>
      <c r="D147" s="371"/>
      <c r="E147" s="371"/>
    </row>
    <row r="148" ht="15.75" customHeight="1">
      <c r="C148" s="35" t="s">
        <v>513</v>
      </c>
      <c r="D148" s="379">
        <v>0.015</v>
      </c>
      <c r="E148" s="35" t="s">
        <v>596</v>
      </c>
    </row>
    <row r="149" ht="15.75" customHeight="1">
      <c r="C149" s="35" t="s">
        <v>120</v>
      </c>
      <c r="D149" s="397">
        <f>MIN(55*unit_three,5000)</f>
        <v>3630</v>
      </c>
      <c r="E149" s="35" t="s">
        <v>459</v>
      </c>
    </row>
    <row r="150" ht="15.75" customHeight="1">
      <c r="C150" s="35" t="s">
        <v>514</v>
      </c>
      <c r="D150" s="379">
        <v>0.05</v>
      </c>
      <c r="E150" s="35" t="s">
        <v>459</v>
      </c>
    </row>
    <row r="151" ht="15.75" customHeight="1">
      <c r="C151" s="35" t="s">
        <v>515</v>
      </c>
      <c r="D151" s="379">
        <v>0.025</v>
      </c>
      <c r="E151" s="35" t="s">
        <v>459</v>
      </c>
    </row>
    <row r="152" ht="15.75" customHeight="1">
      <c r="C152" s="35" t="s">
        <v>122</v>
      </c>
      <c r="D152" s="397">
        <v>2500.0</v>
      </c>
      <c r="E152" s="35" t="s">
        <v>459</v>
      </c>
    </row>
    <row r="153" ht="15.75" customHeight="1">
      <c r="C153" s="35" t="s">
        <v>516</v>
      </c>
      <c r="D153" s="397">
        <v>50000.0</v>
      </c>
      <c r="E153" s="35" t="s">
        <v>517</v>
      </c>
    </row>
    <row r="154" ht="15.75" customHeight="1">
      <c r="C154" s="35" t="s">
        <v>125</v>
      </c>
      <c r="D154" s="397">
        <f>'Development Comps'!K87</f>
        <v>32500</v>
      </c>
      <c r="E154" s="35" t="s">
        <v>496</v>
      </c>
    </row>
    <row r="155" ht="15.75" customHeight="1">
      <c r="C155" s="35" t="s">
        <v>126</v>
      </c>
      <c r="D155" s="397">
        <v>10000.0</v>
      </c>
      <c r="E155" s="35" t="s">
        <v>517</v>
      </c>
    </row>
    <row r="156" ht="15.75" customHeight="1">
      <c r="C156" s="35" t="s">
        <v>127</v>
      </c>
      <c r="D156" s="397">
        <v>20000.0</v>
      </c>
      <c r="E156" s="35" t="s">
        <v>517</v>
      </c>
    </row>
    <row r="157" ht="15.75" customHeight="1">
      <c r="C157" s="35" t="s">
        <v>519</v>
      </c>
      <c r="D157" s="378">
        <v>0.05</v>
      </c>
      <c r="E157" s="35" t="s">
        <v>464</v>
      </c>
    </row>
    <row r="158" ht="15.75" customHeight="1">
      <c r="C158" s="377" t="s">
        <v>520</v>
      </c>
      <c r="D158" s="397">
        <v>20000.0</v>
      </c>
      <c r="E158" s="35" t="s">
        <v>632</v>
      </c>
    </row>
    <row r="159" ht="15.75" customHeight="1">
      <c r="C159" s="377" t="s">
        <v>521</v>
      </c>
      <c r="D159" s="397">
        <v>500.0</v>
      </c>
      <c r="E159" s="35" t="s">
        <v>632</v>
      </c>
    </row>
    <row r="160" ht="15.75" customHeight="1">
      <c r="C160" s="377" t="s">
        <v>522</v>
      </c>
      <c r="D160" s="397">
        <v>600.0</v>
      </c>
      <c r="E160" s="35" t="s">
        <v>459</v>
      </c>
    </row>
    <row r="161" ht="15.75" customHeight="1"/>
    <row r="162" ht="15.75" customHeight="1">
      <c r="B162" s="371"/>
      <c r="C162" s="371" t="s">
        <v>53</v>
      </c>
      <c r="D162" s="371"/>
      <c r="E162" s="371"/>
    </row>
    <row r="163" ht="15.75" customHeight="1">
      <c r="C163" s="35" t="s">
        <v>130</v>
      </c>
      <c r="D163" s="397">
        <f>'Development Comps'!K77</f>
        <v>8750</v>
      </c>
      <c r="E163" s="35" t="s">
        <v>496</v>
      </c>
    </row>
    <row r="164" ht="15.75" customHeight="1">
      <c r="C164" s="35" t="s">
        <v>131</v>
      </c>
      <c r="D164" s="397">
        <f>'Development Comps'!K78</f>
        <v>7250</v>
      </c>
      <c r="E164" s="35" t="s">
        <v>496</v>
      </c>
    </row>
    <row r="165" ht="15.75" customHeight="1">
      <c r="C165" s="35" t="s">
        <v>132</v>
      </c>
      <c r="D165" s="397">
        <f>'Development Comps'!K79</f>
        <v>12500</v>
      </c>
      <c r="E165" s="35" t="s">
        <v>496</v>
      </c>
    </row>
    <row r="166" ht="15.75" customHeight="1">
      <c r="C166" s="35" t="s">
        <v>133</v>
      </c>
      <c r="D166" s="397">
        <f>'Development Comps'!K80</f>
        <v>10700</v>
      </c>
      <c r="E166" s="35" t="s">
        <v>496</v>
      </c>
    </row>
    <row r="167" ht="15.75" customHeight="1">
      <c r="C167" s="35" t="s">
        <v>523</v>
      </c>
      <c r="D167" s="397">
        <v>0.0</v>
      </c>
      <c r="E167" s="35" t="s">
        <v>633</v>
      </c>
    </row>
    <row r="168" ht="15.75" customHeight="1">
      <c r="C168" s="35" t="s">
        <v>135</v>
      </c>
      <c r="D168" s="397">
        <f>'Development Comps'!K91</f>
        <v>97500</v>
      </c>
      <c r="E168" s="35" t="s">
        <v>496</v>
      </c>
    </row>
    <row r="169" ht="15.75" customHeight="1">
      <c r="C169" s="35" t="s">
        <v>136</v>
      </c>
      <c r="D169" s="397">
        <f>'Development Comps'!K86</f>
        <v>37437.5</v>
      </c>
      <c r="E169" s="35" t="s">
        <v>496</v>
      </c>
    </row>
    <row r="170" ht="15.75" customHeight="1">
      <c r="C170" s="35" t="s">
        <v>634</v>
      </c>
      <c r="D170" s="397">
        <v>0.0</v>
      </c>
    </row>
    <row r="171" ht="15.75" customHeight="1">
      <c r="C171" s="394" t="s">
        <v>524</v>
      </c>
      <c r="D171" s="397">
        <v>20000.0</v>
      </c>
    </row>
    <row r="172" ht="15.75" customHeight="1">
      <c r="C172" s="394" t="s">
        <v>525</v>
      </c>
      <c r="D172" s="397">
        <v>15000.0</v>
      </c>
    </row>
    <row r="173" ht="15.75" customHeight="1">
      <c r="C173" s="394" t="s">
        <v>526</v>
      </c>
      <c r="D173" s="397">
        <v>15000.0</v>
      </c>
    </row>
    <row r="174" ht="15.75" customHeight="1"/>
    <row r="175" ht="15.75" customHeight="1">
      <c r="B175" s="371"/>
      <c r="C175" s="371" t="s">
        <v>54</v>
      </c>
      <c r="D175" s="371"/>
      <c r="E175" s="371"/>
    </row>
    <row r="176" ht="15.75" customHeight="1">
      <c r="C176" s="35" t="s">
        <v>527</v>
      </c>
      <c r="D176" s="397">
        <v>21000.0</v>
      </c>
      <c r="E176" s="35" t="s">
        <v>528</v>
      </c>
    </row>
    <row r="177" ht="15.75" customHeight="1">
      <c r="C177" s="35" t="s">
        <v>102</v>
      </c>
      <c r="D177" s="397">
        <v>0.0</v>
      </c>
    </row>
    <row r="178" ht="15.0" customHeight="1">
      <c r="D178" s="408"/>
      <c r="E178" s="380"/>
    </row>
    <row r="179" ht="15.75" customHeight="1">
      <c r="B179" s="371"/>
      <c r="C179" s="371" t="s">
        <v>55</v>
      </c>
      <c r="D179" s="371"/>
      <c r="E179" s="371"/>
    </row>
    <row r="180" ht="15.75" customHeight="1">
      <c r="C180" s="35" t="s">
        <v>529</v>
      </c>
      <c r="D180" s="377">
        <v>6.0</v>
      </c>
      <c r="E180" s="35" t="s">
        <v>479</v>
      </c>
    </row>
    <row r="181" ht="15.75" customHeight="1">
      <c r="C181" s="35" t="s">
        <v>530</v>
      </c>
      <c r="D181" s="397">
        <f>D94</f>
        <v>300</v>
      </c>
      <c r="E181" s="35" t="s">
        <v>466</v>
      </c>
    </row>
    <row r="182" ht="15.75" customHeight="1">
      <c r="C182" s="35" t="s">
        <v>531</v>
      </c>
      <c r="D182" s="377">
        <v>3.0</v>
      </c>
    </row>
    <row r="183" ht="15.75" customHeight="1">
      <c r="C183" s="35" t="s">
        <v>532</v>
      </c>
      <c r="D183" s="377">
        <v>3.0</v>
      </c>
    </row>
    <row r="184" ht="15.75" customHeight="1">
      <c r="C184" s="35" t="s">
        <v>533</v>
      </c>
      <c r="D184" s="377">
        <v>3.0</v>
      </c>
      <c r="E184" s="35"/>
    </row>
    <row r="185" ht="15.75" customHeight="1">
      <c r="C185" s="35" t="s">
        <v>534</v>
      </c>
      <c r="D185" s="397">
        <v>0.0</v>
      </c>
      <c r="E185" s="35" t="s">
        <v>636</v>
      </c>
    </row>
    <row r="186" ht="15.75" customHeight="1">
      <c r="C186" s="35" t="s">
        <v>102</v>
      </c>
      <c r="D186" s="397">
        <v>0.0</v>
      </c>
    </row>
    <row r="187" ht="15.75" customHeight="1">
      <c r="C187" s="35" t="s">
        <v>102</v>
      </c>
      <c r="D187" s="397">
        <v>0.0</v>
      </c>
    </row>
    <row r="188" ht="15.75" customHeight="1">
      <c r="C188" s="35" t="s">
        <v>102</v>
      </c>
      <c r="D188" s="397">
        <v>0.0</v>
      </c>
    </row>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E1"/>
  </mergeCells>
  <printOptions/>
  <pageMargins bottom="0.75" footer="0.0" header="0.0" left="0.7" right="0.7" top="0.75"/>
  <pageSetup orientation="portrait"/>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7"/>
    <pageSetUpPr/>
  </sheetPr>
  <sheetViews>
    <sheetView workbookViewId="0"/>
  </sheetViews>
  <sheetFormatPr customHeight="1" defaultColWidth="12.63" defaultRowHeight="15.0"/>
  <cols>
    <col customWidth="1" min="1" max="9" width="10.63"/>
  </cols>
  <sheetData>
    <row r="1" ht="13.5" customHeight="1"/>
    <row r="2" ht="13.5" customHeight="1">
      <c r="B2" s="35" t="s">
        <v>42</v>
      </c>
    </row>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c r="I14" s="58"/>
    </row>
    <row r="15" ht="13.5" customHeight="1">
      <c r="I15" s="35"/>
    </row>
    <row r="16" ht="13.5" customHeight="1">
      <c r="I16" s="35"/>
    </row>
    <row r="17" ht="13.5" customHeight="1">
      <c r="I17" s="35"/>
    </row>
    <row r="18" ht="13.5" customHeight="1">
      <c r="I18" s="35"/>
    </row>
    <row r="19" ht="13.5" customHeight="1">
      <c r="I19" s="35"/>
    </row>
    <row r="20" ht="13.5" customHeight="1">
      <c r="I20" s="35"/>
    </row>
    <row r="21" ht="13.5" customHeight="1">
      <c r="I21" s="35"/>
    </row>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E598"/>
    <pageSetUpPr/>
  </sheetPr>
  <sheetViews>
    <sheetView workbookViewId="0"/>
  </sheetViews>
  <sheetFormatPr customHeight="1" defaultColWidth="12.63" defaultRowHeight="15.0"/>
  <cols>
    <col customWidth="1" min="1" max="1" width="2.63"/>
    <col customWidth="1" min="2" max="2" width="42.63"/>
    <col customWidth="1" min="3" max="7" width="20.63"/>
    <col customWidth="1" min="8" max="8" width="14.88"/>
    <col customWidth="1" min="9" max="9" width="14.38"/>
    <col customWidth="1" min="10" max="10" width="15.13"/>
    <col customWidth="1" min="11" max="26" width="8.0"/>
  </cols>
  <sheetData>
    <row r="1" ht="9.0" customHeight="1">
      <c r="A1" s="13"/>
      <c r="B1" s="13"/>
      <c r="C1" s="34"/>
      <c r="D1" s="13"/>
      <c r="E1" s="13"/>
      <c r="F1" s="13"/>
      <c r="G1" s="13"/>
      <c r="H1" s="13"/>
      <c r="I1" s="13"/>
      <c r="J1" s="13"/>
      <c r="K1" s="13"/>
      <c r="L1" s="13"/>
      <c r="M1" s="13"/>
      <c r="N1" s="13"/>
      <c r="O1" s="13"/>
      <c r="P1" s="13"/>
      <c r="Q1" s="13"/>
      <c r="R1" s="13"/>
      <c r="S1" s="13"/>
      <c r="T1" s="13"/>
      <c r="U1" s="13"/>
      <c r="V1" s="13"/>
      <c r="W1" s="13"/>
      <c r="X1" s="13"/>
      <c r="Y1" s="13"/>
      <c r="Z1" s="13"/>
    </row>
    <row r="2">
      <c r="A2" s="13"/>
      <c r="B2" s="36" t="s">
        <v>43</v>
      </c>
      <c r="C2" s="37"/>
      <c r="D2" s="37"/>
      <c r="E2" s="37"/>
      <c r="F2" s="37"/>
      <c r="G2" s="37"/>
      <c r="H2" s="38"/>
      <c r="I2" s="39" t="s">
        <v>44</v>
      </c>
      <c r="J2" s="39"/>
      <c r="K2" s="13"/>
      <c r="L2" s="13"/>
      <c r="M2" s="13"/>
      <c r="N2" s="13"/>
      <c r="O2" s="13"/>
      <c r="P2" s="13"/>
      <c r="Q2" s="13"/>
      <c r="R2" s="13"/>
      <c r="S2" s="13"/>
      <c r="T2" s="13"/>
      <c r="U2" s="13"/>
      <c r="V2" s="13"/>
      <c r="W2" s="13"/>
      <c r="X2" s="13"/>
      <c r="Y2" s="13"/>
      <c r="Z2" s="13"/>
    </row>
    <row r="3">
      <c r="A3" s="13"/>
      <c r="B3" s="13"/>
      <c r="C3" s="34"/>
      <c r="D3" s="13"/>
      <c r="E3" s="13"/>
      <c r="F3" s="13"/>
      <c r="G3" s="13"/>
      <c r="H3" s="13"/>
      <c r="I3" s="13"/>
      <c r="J3" s="13"/>
      <c r="K3" s="13"/>
      <c r="L3" s="13"/>
      <c r="M3" s="13"/>
      <c r="N3" s="13"/>
      <c r="O3" s="13"/>
      <c r="P3" s="13"/>
      <c r="Q3" s="13"/>
      <c r="R3" s="13"/>
      <c r="S3" s="13"/>
      <c r="T3" s="13"/>
      <c r="U3" s="13"/>
      <c r="V3" s="13"/>
      <c r="W3" s="13"/>
      <c r="X3" s="13"/>
      <c r="Y3" s="13"/>
      <c r="Z3" s="13"/>
    </row>
    <row r="4">
      <c r="A4" s="13"/>
      <c r="B4" s="40" t="s">
        <v>45</v>
      </c>
      <c r="C4" s="41"/>
      <c r="D4" s="42" t="s">
        <v>46</v>
      </c>
      <c r="E4" s="41"/>
      <c r="F4" s="13"/>
      <c r="G4" s="13"/>
      <c r="H4" s="13"/>
      <c r="I4" s="13"/>
      <c r="J4" s="13"/>
      <c r="K4" s="13"/>
      <c r="L4" s="13"/>
      <c r="M4" s="13"/>
      <c r="N4" s="13"/>
      <c r="O4" s="13"/>
      <c r="P4" s="13"/>
      <c r="Q4" s="13"/>
      <c r="R4" s="13"/>
      <c r="S4" s="13"/>
      <c r="T4" s="13"/>
      <c r="U4" s="13"/>
      <c r="V4" s="13"/>
      <c r="W4" s="13"/>
      <c r="X4" s="13"/>
      <c r="Y4" s="13"/>
      <c r="Z4" s="13"/>
    </row>
    <row r="5">
      <c r="A5" s="13"/>
      <c r="B5" s="43" t="str">
        <f t="shared" ref="B5:B14" si="1">B20</f>
        <v>WHEDA Tax Credit Permanent Financing Loan</v>
      </c>
      <c r="C5" s="44">
        <f t="shared" ref="C5:C14" si="2">D20</f>
        <v>2515459.765</v>
      </c>
      <c r="D5" s="45" t="s">
        <v>47</v>
      </c>
      <c r="E5" s="46">
        <f>C44</f>
        <v>0</v>
      </c>
      <c r="F5" s="47"/>
      <c r="G5" s="48"/>
      <c r="H5" s="35"/>
      <c r="I5" s="13"/>
      <c r="J5" s="13"/>
      <c r="K5" s="13"/>
      <c r="L5" s="13"/>
      <c r="M5" s="13"/>
      <c r="N5" s="13"/>
      <c r="O5" s="13"/>
      <c r="P5" s="13"/>
      <c r="Q5" s="13"/>
      <c r="R5" s="13"/>
      <c r="S5" s="13"/>
      <c r="T5" s="13"/>
      <c r="U5" s="13"/>
      <c r="V5" s="13"/>
      <c r="W5" s="13"/>
      <c r="X5" s="13"/>
      <c r="Y5" s="13"/>
      <c r="Z5" s="13"/>
    </row>
    <row r="6">
      <c r="A6" s="13"/>
      <c r="B6" s="43" t="str">
        <f t="shared" si="1"/>
        <v>Federal Tax Credit Equity (9%)</v>
      </c>
      <c r="C6" s="44">
        <f t="shared" si="2"/>
        <v>7144139.259</v>
      </c>
      <c r="D6" s="49" t="s">
        <v>49</v>
      </c>
      <c r="E6" s="50">
        <f>C53</f>
        <v>8477365.62</v>
      </c>
      <c r="F6" s="13"/>
      <c r="G6" s="58"/>
      <c r="H6" s="13"/>
      <c r="I6" s="13"/>
      <c r="J6" s="13"/>
      <c r="K6" s="13"/>
      <c r="L6" s="13"/>
      <c r="M6" s="13"/>
      <c r="N6" s="13"/>
      <c r="O6" s="13"/>
      <c r="P6" s="13"/>
      <c r="Q6" s="13"/>
      <c r="R6" s="13"/>
      <c r="S6" s="13"/>
      <c r="T6" s="13"/>
      <c r="U6" s="13"/>
      <c r="V6" s="13"/>
      <c r="W6" s="13"/>
      <c r="X6" s="13"/>
      <c r="Y6" s="13"/>
      <c r="Z6" s="13"/>
    </row>
    <row r="7">
      <c r="A7" s="13"/>
      <c r="B7" s="43" t="str">
        <f t="shared" si="1"/>
        <v>FHLB AHP Loan</v>
      </c>
      <c r="C7" s="44">
        <f t="shared" si="2"/>
        <v>1000000</v>
      </c>
      <c r="D7" s="49" t="s">
        <v>50</v>
      </c>
      <c r="E7" s="50">
        <f>C64</f>
        <v>127727.3996</v>
      </c>
      <c r="F7" s="13"/>
      <c r="G7" s="13"/>
      <c r="H7" s="13"/>
      <c r="I7" s="13"/>
      <c r="J7" s="13"/>
      <c r="K7" s="13"/>
      <c r="L7" s="13"/>
      <c r="M7" s="13"/>
      <c r="N7" s="13"/>
      <c r="O7" s="13"/>
      <c r="P7" s="13"/>
      <c r="Q7" s="13"/>
      <c r="R7" s="13"/>
      <c r="S7" s="13"/>
      <c r="T7" s="13"/>
      <c r="U7" s="13"/>
      <c r="V7" s="13"/>
      <c r="W7" s="13"/>
      <c r="X7" s="13"/>
      <c r="Y7" s="13"/>
      <c r="Z7" s="13"/>
    </row>
    <row r="8">
      <c r="A8" s="13"/>
      <c r="B8" s="43" t="str">
        <f t="shared" si="1"/>
        <v>Deferred Developer Fee</v>
      </c>
      <c r="C8" s="44">
        <f t="shared" si="2"/>
        <v>388500</v>
      </c>
      <c r="D8" s="49" t="s">
        <v>51</v>
      </c>
      <c r="E8" s="50">
        <f>C78</f>
        <v>854578.2584</v>
      </c>
      <c r="F8" s="13"/>
      <c r="G8" s="13"/>
      <c r="H8" s="13"/>
      <c r="I8" s="13"/>
      <c r="J8" s="13"/>
      <c r="K8" s="13"/>
      <c r="L8" s="13"/>
      <c r="M8" s="13"/>
      <c r="N8" s="13"/>
      <c r="O8" s="13"/>
      <c r="P8" s="13"/>
      <c r="Q8" s="13"/>
      <c r="R8" s="13"/>
      <c r="S8" s="13"/>
      <c r="T8" s="13"/>
      <c r="U8" s="13"/>
      <c r="V8" s="13"/>
      <c r="W8" s="13"/>
      <c r="X8" s="13"/>
      <c r="Y8" s="13"/>
      <c r="Z8" s="13"/>
    </row>
    <row r="9">
      <c r="A9" s="13"/>
      <c r="B9" s="43" t="str">
        <f t="shared" si="1"/>
        <v>Focus On Energy Solar Incentive (Solar)</v>
      </c>
      <c r="C9" s="44">
        <f t="shared" si="2"/>
        <v>41831.16</v>
      </c>
      <c r="D9" s="49" t="s">
        <v>52</v>
      </c>
      <c r="E9" s="50">
        <f>C92</f>
        <v>288451.9215</v>
      </c>
      <c r="F9" s="13"/>
      <c r="G9" s="13"/>
      <c r="H9" s="13"/>
      <c r="I9" s="13"/>
      <c r="J9" s="13"/>
      <c r="K9" s="13"/>
      <c r="L9" s="13"/>
      <c r="M9" s="13"/>
      <c r="N9" s="13"/>
      <c r="O9" s="13"/>
      <c r="P9" s="13"/>
      <c r="Q9" s="13"/>
      <c r="R9" s="13"/>
      <c r="S9" s="13"/>
      <c r="T9" s="13"/>
      <c r="U9" s="13"/>
      <c r="V9" s="13"/>
      <c r="W9" s="13"/>
      <c r="X9" s="13"/>
      <c r="Y9" s="13"/>
      <c r="Z9" s="13"/>
    </row>
    <row r="10">
      <c r="A10" s="13"/>
      <c r="B10" s="43" t="str">
        <f t="shared" si="1"/>
        <v>RENEW Wisconsin Solar for Good Grant (Solar)</v>
      </c>
      <c r="C10" s="44">
        <f t="shared" si="2"/>
        <v>50000</v>
      </c>
      <c r="D10" s="49" t="s">
        <v>53</v>
      </c>
      <c r="E10" s="50">
        <f>C104</f>
        <v>224137.5</v>
      </c>
      <c r="F10" s="13"/>
      <c r="G10" s="13"/>
      <c r="H10" s="13"/>
      <c r="I10" s="13"/>
      <c r="J10" s="13"/>
      <c r="K10" s="13"/>
      <c r="L10" s="13"/>
      <c r="M10" s="13"/>
      <c r="N10" s="13"/>
      <c r="O10" s="13"/>
      <c r="P10" s="13"/>
      <c r="Q10" s="13"/>
      <c r="R10" s="13"/>
      <c r="S10" s="13"/>
      <c r="T10" s="13"/>
      <c r="U10" s="13"/>
      <c r="V10" s="13"/>
      <c r="W10" s="13"/>
      <c r="X10" s="13"/>
      <c r="Y10" s="13"/>
      <c r="Z10" s="13"/>
    </row>
    <row r="11">
      <c r="A11" s="13"/>
      <c r="B11" s="43" t="str">
        <f t="shared" si="1"/>
        <v>Source 7</v>
      </c>
      <c r="C11" s="44">
        <f t="shared" si="2"/>
        <v>0</v>
      </c>
      <c r="D11" s="49" t="s">
        <v>54</v>
      </c>
      <c r="E11" s="50">
        <f>C111</f>
        <v>777000</v>
      </c>
      <c r="F11" s="13"/>
      <c r="G11" s="13"/>
      <c r="H11" s="13"/>
      <c r="I11" s="13"/>
      <c r="J11" s="13"/>
      <c r="K11" s="13"/>
      <c r="L11" s="13"/>
      <c r="M11" s="13"/>
      <c r="N11" s="13"/>
      <c r="O11" s="13"/>
      <c r="P11" s="13"/>
      <c r="Q11" s="13"/>
      <c r="R11" s="13"/>
      <c r="S11" s="13"/>
      <c r="T11" s="13"/>
      <c r="U11" s="13"/>
      <c r="V11" s="13"/>
      <c r="W11" s="13"/>
      <c r="X11" s="13"/>
      <c r="Y11" s="13"/>
      <c r="Z11" s="13"/>
    </row>
    <row r="12">
      <c r="A12" s="13"/>
      <c r="B12" s="43" t="str">
        <f t="shared" si="1"/>
        <v>Source 8</v>
      </c>
      <c r="C12" s="44">
        <f t="shared" si="2"/>
        <v>0</v>
      </c>
      <c r="D12" s="49" t="s">
        <v>55</v>
      </c>
      <c r="E12" s="50">
        <f>C122</f>
        <v>390669.4845</v>
      </c>
      <c r="F12" s="13"/>
      <c r="G12" s="13"/>
      <c r="H12" s="13"/>
      <c r="I12" s="13"/>
      <c r="J12" s="13"/>
      <c r="K12" s="13"/>
      <c r="L12" s="13"/>
      <c r="M12" s="13"/>
      <c r="N12" s="13"/>
      <c r="O12" s="13"/>
      <c r="P12" s="13"/>
      <c r="Q12" s="13"/>
      <c r="R12" s="13"/>
      <c r="S12" s="13"/>
      <c r="T12" s="13"/>
      <c r="U12" s="13"/>
      <c r="V12" s="13"/>
      <c r="W12" s="13"/>
      <c r="X12" s="13"/>
      <c r="Y12" s="13"/>
      <c r="Z12" s="13"/>
    </row>
    <row r="13">
      <c r="A13" s="13"/>
      <c r="B13" s="43" t="str">
        <f t="shared" si="1"/>
        <v>Source 9</v>
      </c>
      <c r="C13" s="44">
        <f t="shared" si="2"/>
        <v>0</v>
      </c>
      <c r="D13" s="49" t="s">
        <v>56</v>
      </c>
      <c r="E13" s="50">
        <v>0.0</v>
      </c>
      <c r="F13" s="13"/>
      <c r="G13" s="13"/>
      <c r="H13" s="13"/>
      <c r="I13" s="13"/>
      <c r="J13" s="13"/>
      <c r="K13" s="13"/>
      <c r="L13" s="13"/>
      <c r="M13" s="13"/>
      <c r="N13" s="13"/>
      <c r="O13" s="13"/>
      <c r="P13" s="13"/>
      <c r="Q13" s="13"/>
      <c r="R13" s="13"/>
      <c r="S13" s="13"/>
      <c r="T13" s="13"/>
      <c r="U13" s="13"/>
      <c r="V13" s="13"/>
      <c r="W13" s="13"/>
      <c r="X13" s="13"/>
      <c r="Y13" s="13"/>
      <c r="Z13" s="13"/>
    </row>
    <row r="14">
      <c r="A14" s="13"/>
      <c r="B14" s="43" t="str">
        <f t="shared" si="1"/>
        <v>Source 10</v>
      </c>
      <c r="C14" s="44">
        <f t="shared" si="2"/>
        <v>0</v>
      </c>
      <c r="D14" s="51" t="s">
        <v>56</v>
      </c>
      <c r="E14" s="52">
        <v>0.0</v>
      </c>
      <c r="F14" s="13"/>
      <c r="G14" s="13"/>
      <c r="H14" s="13"/>
      <c r="I14" s="58"/>
      <c r="J14" s="13"/>
      <c r="K14" s="13"/>
      <c r="L14" s="13"/>
      <c r="M14" s="13"/>
      <c r="N14" s="13"/>
      <c r="O14" s="13"/>
      <c r="P14" s="13"/>
      <c r="Q14" s="13"/>
      <c r="R14" s="13"/>
      <c r="S14" s="13"/>
      <c r="T14" s="13"/>
      <c r="U14" s="13"/>
      <c r="V14" s="13"/>
      <c r="W14" s="13"/>
      <c r="X14" s="13"/>
      <c r="Y14" s="13"/>
      <c r="Z14" s="13"/>
    </row>
    <row r="15">
      <c r="A15" s="13"/>
      <c r="B15" s="53" t="s">
        <v>57</v>
      </c>
      <c r="C15" s="54">
        <f>SUM(C5:C14)</f>
        <v>11139930.18</v>
      </c>
      <c r="D15" s="55" t="s">
        <v>58</v>
      </c>
      <c r="E15" s="56">
        <f>SUM(E5:E14)</f>
        <v>11139930.18</v>
      </c>
      <c r="F15" s="47" t="s">
        <v>59</v>
      </c>
      <c r="G15" s="57">
        <f>C15-E15</f>
        <v>0</v>
      </c>
      <c r="H15" s="13"/>
      <c r="I15" s="13"/>
      <c r="J15" s="13"/>
      <c r="K15" s="13"/>
      <c r="L15" s="13"/>
      <c r="M15" s="13"/>
      <c r="N15" s="13"/>
      <c r="O15" s="13"/>
      <c r="P15" s="13"/>
      <c r="Q15" s="13"/>
      <c r="R15" s="13"/>
      <c r="S15" s="13"/>
      <c r="T15" s="13"/>
      <c r="U15" s="13"/>
      <c r="V15" s="13"/>
      <c r="W15" s="13"/>
      <c r="X15" s="13"/>
      <c r="Y15" s="13"/>
      <c r="Z15" s="13"/>
    </row>
    <row r="16">
      <c r="A16" s="13"/>
      <c r="B16" s="13"/>
      <c r="C16" s="34"/>
      <c r="D16" s="13"/>
      <c r="E16" s="13"/>
      <c r="F16" s="13"/>
      <c r="G16" s="13"/>
      <c r="H16" s="13"/>
      <c r="I16" s="13"/>
      <c r="J16" s="13"/>
      <c r="K16" s="13"/>
      <c r="L16" s="13"/>
      <c r="M16" s="13"/>
      <c r="N16" s="13"/>
      <c r="O16" s="13"/>
      <c r="P16" s="13"/>
      <c r="Q16" s="13"/>
      <c r="R16" s="13"/>
      <c r="S16" s="13"/>
      <c r="T16" s="13"/>
      <c r="U16" s="13"/>
      <c r="V16" s="13"/>
      <c r="W16" s="13"/>
      <c r="X16" s="13"/>
      <c r="Y16" s="13"/>
      <c r="Z16" s="13"/>
    </row>
    <row r="17">
      <c r="A17" s="13"/>
      <c r="B17" s="60" t="s">
        <v>45</v>
      </c>
      <c r="C17" s="37"/>
      <c r="D17" s="37"/>
      <c r="E17" s="37"/>
      <c r="F17" s="37"/>
      <c r="G17" s="37"/>
      <c r="H17" s="61"/>
      <c r="I17" s="61"/>
      <c r="J17" s="61"/>
      <c r="K17" s="13"/>
      <c r="L17" s="13"/>
      <c r="M17" s="13"/>
      <c r="N17" s="13"/>
      <c r="O17" s="13"/>
      <c r="P17" s="13"/>
      <c r="Q17" s="13"/>
      <c r="R17" s="13"/>
      <c r="S17" s="13"/>
      <c r="T17" s="13"/>
      <c r="U17" s="13"/>
      <c r="V17" s="13"/>
      <c r="W17" s="13"/>
      <c r="X17" s="13"/>
      <c r="Y17" s="13"/>
      <c r="Z17" s="13"/>
    </row>
    <row r="18">
      <c r="A18" s="13"/>
      <c r="B18" s="62"/>
      <c r="C18" s="34"/>
      <c r="D18" s="13"/>
      <c r="E18" s="13"/>
      <c r="F18" s="13"/>
      <c r="G18" s="13"/>
      <c r="H18" s="13"/>
      <c r="I18" s="13"/>
      <c r="J18" s="13"/>
      <c r="K18" s="13"/>
      <c r="L18" s="13"/>
      <c r="M18" s="13"/>
      <c r="N18" s="13"/>
      <c r="O18" s="13"/>
      <c r="P18" s="13"/>
      <c r="Q18" s="13"/>
      <c r="R18" s="13"/>
      <c r="S18" s="13"/>
      <c r="T18" s="13"/>
      <c r="U18" s="13"/>
      <c r="V18" s="13"/>
      <c r="W18" s="13"/>
      <c r="X18" s="13"/>
      <c r="Y18" s="13"/>
      <c r="Z18" s="13"/>
    </row>
    <row r="19">
      <c r="A19" s="13"/>
      <c r="B19" s="63" t="s">
        <v>60</v>
      </c>
      <c r="C19" s="64" t="s">
        <v>61</v>
      </c>
      <c r="D19" s="64" t="s">
        <v>62</v>
      </c>
      <c r="E19" s="64" t="s">
        <v>63</v>
      </c>
      <c r="F19" s="64" t="s">
        <v>64</v>
      </c>
      <c r="G19" s="65" t="s">
        <v>65</v>
      </c>
      <c r="H19" s="65" t="s">
        <v>66</v>
      </c>
      <c r="I19" s="66" t="s">
        <v>67</v>
      </c>
      <c r="J19" s="13"/>
      <c r="K19" s="13"/>
      <c r="L19" s="13"/>
      <c r="M19" s="13"/>
      <c r="N19" s="13"/>
      <c r="O19" s="13"/>
      <c r="P19" s="13"/>
      <c r="Q19" s="13"/>
      <c r="R19" s="13"/>
      <c r="S19" s="13"/>
      <c r="T19" s="13"/>
      <c r="U19" s="13"/>
      <c r="V19" s="13"/>
      <c r="W19" s="13"/>
      <c r="X19" s="13"/>
      <c r="Y19" s="13"/>
      <c r="Z19" s="13"/>
    </row>
    <row r="20">
      <c r="A20" s="13"/>
      <c r="B20" s="67" t="s">
        <v>537</v>
      </c>
      <c r="C20" s="68" t="s">
        <v>68</v>
      </c>
      <c r="D20" s="69">
        <f>'Loan Sizing (P3RTO)'!D14</f>
        <v>2515459.765</v>
      </c>
      <c r="E20" s="70">
        <f>'Loan Sizing (P3RTO)'!D11</f>
        <v>0.0625</v>
      </c>
      <c r="F20" s="80">
        <f>'Loan Sizing (P3RTO)'!D10*12</f>
        <v>420</v>
      </c>
      <c r="G20" s="409">
        <f t="shared" ref="G20:G29" si="3">IF(C20="Hard Debt",(PMT(E20/12,F20,-D20)*12),0)</f>
        <v>177212.0717</v>
      </c>
      <c r="H20" s="82">
        <f>D20/unit_three_rto</f>
        <v>67985.39905</v>
      </c>
      <c r="I20" s="85">
        <f t="shared" ref="I20:I29" si="4">IF(C20="Hard Debt",PMT(E20/12,F20,D20,0),0)</f>
        <v>-14767.67264</v>
      </c>
      <c r="J20" s="75"/>
      <c r="K20" s="13"/>
      <c r="L20" s="13"/>
      <c r="M20" s="13"/>
      <c r="N20" s="13"/>
      <c r="O20" s="13"/>
      <c r="P20" s="13"/>
      <c r="Q20" s="13"/>
      <c r="R20" s="13"/>
      <c r="S20" s="13"/>
      <c r="T20" s="13"/>
      <c r="U20" s="13"/>
      <c r="V20" s="13"/>
      <c r="W20" s="13"/>
      <c r="X20" s="13"/>
      <c r="Y20" s="13"/>
      <c r="Z20" s="13"/>
    </row>
    <row r="21" ht="15.75" customHeight="1">
      <c r="A21" s="13"/>
      <c r="B21" s="76" t="s">
        <v>538</v>
      </c>
      <c r="C21" s="77" t="s">
        <v>71</v>
      </c>
      <c r="D21" s="78">
        <f>C154</f>
        <v>7144139.259</v>
      </c>
      <c r="E21" s="79">
        <v>0.0</v>
      </c>
      <c r="F21" s="80"/>
      <c r="G21" s="84">
        <f t="shared" si="3"/>
        <v>0</v>
      </c>
      <c r="H21" s="84">
        <f>D21/unit_three_rto</f>
        <v>193084.8448</v>
      </c>
      <c r="I21" s="85">
        <f t="shared" si="4"/>
        <v>0</v>
      </c>
      <c r="J21" s="13"/>
      <c r="K21" s="13"/>
      <c r="L21" s="13"/>
      <c r="M21" s="13"/>
      <c r="N21" s="13"/>
      <c r="O21" s="13"/>
      <c r="P21" s="13"/>
      <c r="Q21" s="13"/>
      <c r="R21" s="13"/>
      <c r="S21" s="13"/>
      <c r="T21" s="13"/>
      <c r="U21" s="13"/>
      <c r="V21" s="13"/>
      <c r="W21" s="13"/>
      <c r="X21" s="13"/>
      <c r="Y21" s="13"/>
      <c r="Z21" s="13"/>
    </row>
    <row r="22" ht="15.75" customHeight="1">
      <c r="A22" s="13"/>
      <c r="B22" s="76" t="s">
        <v>539</v>
      </c>
      <c r="C22" s="77" t="s">
        <v>75</v>
      </c>
      <c r="D22" s="78">
        <v>1000000.0</v>
      </c>
      <c r="E22" s="79">
        <v>0.0</v>
      </c>
      <c r="F22" s="80"/>
      <c r="G22" s="84">
        <f t="shared" si="3"/>
        <v>0</v>
      </c>
      <c r="H22" s="84">
        <f>D22/unit_three_rto</f>
        <v>27027.02703</v>
      </c>
      <c r="I22" s="85">
        <f t="shared" si="4"/>
        <v>0</v>
      </c>
      <c r="K22" s="13"/>
      <c r="L22" s="13"/>
      <c r="M22" s="13"/>
      <c r="N22" s="13"/>
      <c r="O22" s="13"/>
      <c r="P22" s="13"/>
      <c r="Q22" s="13"/>
      <c r="R22" s="13"/>
      <c r="S22" s="13"/>
      <c r="T22" s="13"/>
      <c r="U22" s="13"/>
      <c r="V22" s="13"/>
      <c r="W22" s="13"/>
      <c r="X22" s="13"/>
      <c r="Y22" s="13"/>
      <c r="Z22" s="13"/>
    </row>
    <row r="23" ht="15.75" customHeight="1">
      <c r="A23" s="13"/>
      <c r="B23" s="76" t="s">
        <v>73</v>
      </c>
      <c r="C23" s="77" t="s">
        <v>73</v>
      </c>
      <c r="D23" s="78">
        <f>C109*0.5</f>
        <v>388500</v>
      </c>
      <c r="E23" s="79">
        <v>0.0</v>
      </c>
      <c r="F23" s="80"/>
      <c r="G23" s="84">
        <f t="shared" si="3"/>
        <v>0</v>
      </c>
      <c r="H23" s="84">
        <f>D23/unit_three_rto</f>
        <v>10500</v>
      </c>
      <c r="I23" s="85">
        <f t="shared" si="4"/>
        <v>0</v>
      </c>
      <c r="J23" s="13"/>
      <c r="K23" s="15"/>
      <c r="L23" s="13"/>
      <c r="M23" s="13"/>
      <c r="N23" s="13"/>
      <c r="O23" s="13"/>
      <c r="P23" s="13"/>
      <c r="Q23" s="13"/>
      <c r="R23" s="13"/>
      <c r="S23" s="13"/>
      <c r="T23" s="13"/>
      <c r="U23" s="13"/>
      <c r="V23" s="13"/>
      <c r="W23" s="13"/>
      <c r="X23" s="13"/>
      <c r="Y23" s="13"/>
      <c r="Z23" s="13"/>
    </row>
    <row r="24" ht="15.75" customHeight="1">
      <c r="A24" s="13"/>
      <c r="B24" s="76" t="s">
        <v>76</v>
      </c>
      <c r="C24" s="77" t="s">
        <v>77</v>
      </c>
      <c r="D24" s="78">
        <f>'Assumptions (P3RTO)'!D128</f>
        <v>41831.16</v>
      </c>
      <c r="E24" s="79">
        <v>0.0</v>
      </c>
      <c r="F24" s="80"/>
      <c r="G24" s="84">
        <f t="shared" si="3"/>
        <v>0</v>
      </c>
      <c r="H24" s="84">
        <f>D24/unit_three_rto</f>
        <v>1130.571892</v>
      </c>
      <c r="I24" s="85">
        <f t="shared" si="4"/>
        <v>0</v>
      </c>
      <c r="J24" s="58"/>
      <c r="K24" s="13"/>
      <c r="L24" s="13"/>
      <c r="M24" s="13"/>
      <c r="N24" s="13"/>
      <c r="O24" s="13"/>
      <c r="P24" s="13"/>
      <c r="Q24" s="13"/>
      <c r="R24" s="13"/>
      <c r="S24" s="13"/>
      <c r="T24" s="13"/>
      <c r="U24" s="13"/>
      <c r="V24" s="13"/>
      <c r="W24" s="13"/>
      <c r="X24" s="13"/>
      <c r="Y24" s="13"/>
      <c r="Z24" s="13"/>
    </row>
    <row r="25" ht="15.75" customHeight="1">
      <c r="A25" s="13"/>
      <c r="B25" s="76" t="s">
        <v>78</v>
      </c>
      <c r="C25" s="77" t="s">
        <v>77</v>
      </c>
      <c r="D25" s="78">
        <v>50000.0</v>
      </c>
      <c r="E25" s="79">
        <v>0.0</v>
      </c>
      <c r="F25" s="80"/>
      <c r="G25" s="84">
        <f t="shared" si="3"/>
        <v>0</v>
      </c>
      <c r="H25" s="84">
        <f>D25/unit_three_rto</f>
        <v>1351.351351</v>
      </c>
      <c r="I25" s="85">
        <f t="shared" si="4"/>
        <v>0</v>
      </c>
      <c r="J25" s="13"/>
      <c r="K25" s="13"/>
      <c r="L25" s="13"/>
      <c r="M25" s="13"/>
      <c r="N25" s="13"/>
      <c r="O25" s="13"/>
      <c r="P25" s="13"/>
      <c r="Q25" s="13"/>
      <c r="R25" s="13"/>
      <c r="S25" s="13"/>
      <c r="T25" s="13"/>
      <c r="U25" s="13"/>
      <c r="V25" s="13"/>
      <c r="W25" s="13"/>
      <c r="X25" s="13"/>
      <c r="Y25" s="13"/>
      <c r="Z25" s="13"/>
    </row>
    <row r="26" ht="15.75" customHeight="1">
      <c r="A26" s="13"/>
      <c r="B26" s="76" t="s">
        <v>540</v>
      </c>
      <c r="C26" s="77"/>
      <c r="D26" s="78">
        <v>0.0</v>
      </c>
      <c r="E26" s="79">
        <v>0.0</v>
      </c>
      <c r="F26" s="80"/>
      <c r="G26" s="84">
        <f t="shared" si="3"/>
        <v>0</v>
      </c>
      <c r="H26" s="84">
        <f>D26/unit_three_rto</f>
        <v>0</v>
      </c>
      <c r="I26" s="85">
        <f t="shared" si="4"/>
        <v>0</v>
      </c>
      <c r="J26" s="13"/>
      <c r="K26" s="13"/>
      <c r="L26" s="13"/>
      <c r="M26" s="13"/>
      <c r="N26" s="13"/>
      <c r="O26" s="13"/>
      <c r="P26" s="13"/>
      <c r="Q26" s="13"/>
      <c r="R26" s="13"/>
      <c r="S26" s="13"/>
      <c r="T26" s="13"/>
      <c r="U26" s="13"/>
      <c r="V26" s="13"/>
      <c r="W26" s="13"/>
      <c r="X26" s="13"/>
      <c r="Y26" s="13"/>
      <c r="Z26" s="13"/>
    </row>
    <row r="27" ht="15.75" customHeight="1">
      <c r="A27" s="13"/>
      <c r="B27" s="76" t="s">
        <v>541</v>
      </c>
      <c r="C27" s="77"/>
      <c r="D27" s="78">
        <v>0.0</v>
      </c>
      <c r="E27" s="79">
        <v>0.0</v>
      </c>
      <c r="F27" s="80"/>
      <c r="G27" s="84">
        <f t="shared" si="3"/>
        <v>0</v>
      </c>
      <c r="H27" s="84">
        <f>D27/unit_three_rto</f>
        <v>0</v>
      </c>
      <c r="I27" s="85">
        <f t="shared" si="4"/>
        <v>0</v>
      </c>
      <c r="J27" s="13"/>
      <c r="K27" s="13"/>
      <c r="L27" s="13"/>
      <c r="M27" s="13"/>
      <c r="N27" s="13"/>
      <c r="O27" s="13"/>
      <c r="P27" s="13"/>
      <c r="Q27" s="13"/>
      <c r="R27" s="13"/>
      <c r="S27" s="13"/>
      <c r="T27" s="13"/>
      <c r="U27" s="13"/>
      <c r="V27" s="13"/>
      <c r="W27" s="13"/>
      <c r="X27" s="13"/>
      <c r="Y27" s="13"/>
      <c r="Z27" s="13"/>
    </row>
    <row r="28" ht="15.75" customHeight="1">
      <c r="A28" s="13"/>
      <c r="B28" s="76" t="s">
        <v>79</v>
      </c>
      <c r="C28" s="410"/>
      <c r="D28" s="411">
        <v>0.0</v>
      </c>
      <c r="E28" s="79">
        <v>0.0</v>
      </c>
      <c r="F28" s="77"/>
      <c r="G28" s="84">
        <f t="shared" si="3"/>
        <v>0</v>
      </c>
      <c r="H28" s="84">
        <f>D28/unit_three_rto</f>
        <v>0</v>
      </c>
      <c r="I28" s="50">
        <f t="shared" si="4"/>
        <v>0</v>
      </c>
      <c r="J28" s="13"/>
      <c r="K28" s="13"/>
      <c r="L28" s="13"/>
      <c r="M28" s="13"/>
      <c r="N28" s="13"/>
      <c r="O28" s="13"/>
      <c r="P28" s="13"/>
      <c r="Q28" s="13"/>
      <c r="R28" s="13"/>
      <c r="S28" s="13"/>
      <c r="T28" s="13"/>
      <c r="U28" s="13"/>
      <c r="V28" s="13"/>
      <c r="W28" s="13"/>
      <c r="X28" s="13"/>
      <c r="Y28" s="13"/>
      <c r="Z28" s="13"/>
    </row>
    <row r="29" ht="15.75" customHeight="1">
      <c r="A29" s="13"/>
      <c r="B29" s="412" t="s">
        <v>80</v>
      </c>
      <c r="C29" s="413"/>
      <c r="D29" s="414">
        <v>0.0</v>
      </c>
      <c r="E29" s="415">
        <v>0.0</v>
      </c>
      <c r="F29" s="86"/>
      <c r="G29" s="87">
        <f t="shared" si="3"/>
        <v>0</v>
      </c>
      <c r="H29" s="88">
        <f>D29/unit_three_rto</f>
        <v>0</v>
      </c>
      <c r="I29" s="89">
        <f t="shared" si="4"/>
        <v>0</v>
      </c>
      <c r="J29" s="13"/>
      <c r="K29" s="13"/>
      <c r="L29" s="13"/>
      <c r="M29" s="13"/>
      <c r="N29" s="13"/>
      <c r="O29" s="13"/>
      <c r="P29" s="13"/>
      <c r="Q29" s="13"/>
      <c r="R29" s="13"/>
      <c r="S29" s="13"/>
      <c r="T29" s="13"/>
      <c r="U29" s="13"/>
      <c r="V29" s="13"/>
      <c r="W29" s="13"/>
      <c r="X29" s="13"/>
      <c r="Y29" s="13"/>
      <c r="Z29" s="13"/>
    </row>
    <row r="30" ht="15.75" customHeight="1">
      <c r="A30" s="13"/>
      <c r="B30" s="15"/>
      <c r="C30" s="90" t="s">
        <v>81</v>
      </c>
      <c r="D30" s="91">
        <f>SUM(D20:D29)</f>
        <v>11139930.18</v>
      </c>
      <c r="E30" s="92"/>
      <c r="F30" s="90" t="s">
        <v>82</v>
      </c>
      <c r="G30" s="93">
        <f>SUM(G20:G29)</f>
        <v>177212.0717</v>
      </c>
      <c r="H30" s="15"/>
      <c r="I30" s="15"/>
      <c r="J30" s="94"/>
      <c r="K30" s="13"/>
      <c r="L30" s="13"/>
      <c r="M30" s="13"/>
      <c r="N30" s="13"/>
      <c r="O30" s="13"/>
      <c r="P30" s="13"/>
      <c r="Q30" s="13"/>
      <c r="R30" s="13"/>
      <c r="S30" s="13"/>
      <c r="T30" s="13"/>
      <c r="U30" s="13"/>
      <c r="V30" s="13"/>
      <c r="W30" s="13"/>
      <c r="X30" s="13"/>
      <c r="Y30" s="13"/>
      <c r="Z30" s="13"/>
    </row>
    <row r="31" ht="15.75" customHeight="1">
      <c r="A31" s="13"/>
      <c r="B31" s="95"/>
      <c r="C31" s="13"/>
      <c r="D31" s="13"/>
      <c r="E31" s="13"/>
      <c r="F31" s="13"/>
      <c r="G31" s="13"/>
      <c r="H31" s="13"/>
      <c r="I31" s="13"/>
      <c r="J31" s="96"/>
      <c r="K31" s="13"/>
      <c r="L31" s="13"/>
      <c r="M31" s="13"/>
      <c r="N31" s="13"/>
      <c r="O31" s="13"/>
      <c r="P31" s="13"/>
      <c r="Q31" s="13"/>
      <c r="R31" s="13"/>
      <c r="S31" s="13"/>
      <c r="T31" s="13"/>
      <c r="U31" s="13"/>
      <c r="V31" s="13"/>
      <c r="W31" s="13"/>
      <c r="X31" s="13"/>
      <c r="Y31" s="13"/>
      <c r="Z31" s="13"/>
    </row>
    <row r="32" ht="15.75" customHeight="1">
      <c r="A32" s="13"/>
      <c r="B32" s="97" t="s">
        <v>83</v>
      </c>
      <c r="C32" s="98">
        <f>noi_three_rto</f>
        <v>208224.1843</v>
      </c>
      <c r="D32" s="13"/>
      <c r="E32" s="13"/>
      <c r="F32" s="13"/>
      <c r="G32" s="13"/>
      <c r="H32" s="13"/>
      <c r="I32" s="13"/>
      <c r="J32" s="96"/>
      <c r="K32" s="13"/>
      <c r="L32" s="13"/>
      <c r="M32" s="13"/>
      <c r="N32" s="13"/>
      <c r="O32" s="13"/>
      <c r="P32" s="13"/>
      <c r="Q32" s="13"/>
      <c r="R32" s="13"/>
      <c r="S32" s="13"/>
      <c r="T32" s="13"/>
      <c r="U32" s="13"/>
      <c r="V32" s="13"/>
      <c r="W32" s="13"/>
      <c r="X32" s="13"/>
      <c r="Y32" s="13"/>
      <c r="Z32" s="13"/>
    </row>
    <row r="33" ht="15.75" customHeight="1">
      <c r="A33" s="13"/>
      <c r="B33" s="99" t="s">
        <v>84</v>
      </c>
      <c r="C33" s="100">
        <f>debtservtotal_three_rto</f>
        <v>177212.0717</v>
      </c>
      <c r="D33" s="13"/>
      <c r="E33" s="13"/>
      <c r="F33" s="13"/>
      <c r="G33" s="13"/>
      <c r="H33" s="13"/>
      <c r="I33" s="13"/>
      <c r="J33" s="96"/>
      <c r="K33" s="13"/>
      <c r="L33" s="13"/>
      <c r="M33" s="13"/>
      <c r="N33" s="13"/>
      <c r="O33" s="13"/>
      <c r="P33" s="13"/>
      <c r="Q33" s="13"/>
      <c r="R33" s="13"/>
      <c r="S33" s="13"/>
      <c r="T33" s="13"/>
      <c r="U33" s="13"/>
      <c r="V33" s="13"/>
      <c r="W33" s="13"/>
      <c r="X33" s="13"/>
      <c r="Y33" s="13"/>
      <c r="Z33" s="13"/>
    </row>
    <row r="34" ht="15.75" customHeight="1">
      <c r="A34" s="13"/>
      <c r="B34" s="101" t="s">
        <v>85</v>
      </c>
      <c r="C34" s="102">
        <f>noi_three_rto/debtservtotal_three_rto</f>
        <v>1.175</v>
      </c>
      <c r="D34" s="13"/>
      <c r="E34" s="13"/>
      <c r="F34" s="13"/>
      <c r="G34" s="13"/>
      <c r="H34" s="13"/>
      <c r="I34" s="13"/>
      <c r="J34" s="13"/>
      <c r="K34" s="13"/>
      <c r="L34" s="13"/>
      <c r="M34" s="13"/>
      <c r="N34" s="13"/>
      <c r="O34" s="13"/>
      <c r="P34" s="13"/>
      <c r="Q34" s="13"/>
      <c r="R34" s="13"/>
      <c r="S34" s="13"/>
      <c r="T34" s="13"/>
      <c r="U34" s="13"/>
      <c r="V34" s="13"/>
      <c r="W34" s="13"/>
      <c r="X34" s="13"/>
      <c r="Y34" s="13"/>
      <c r="Z34" s="13"/>
    </row>
    <row r="35" ht="15.75" customHeight="1">
      <c r="A35" s="13"/>
      <c r="B35" s="62"/>
      <c r="C35" s="34"/>
      <c r="D35" s="13"/>
      <c r="E35" s="13"/>
      <c r="F35" s="13"/>
      <c r="G35" s="13"/>
      <c r="H35" s="13"/>
      <c r="I35" s="13"/>
      <c r="J35" s="13"/>
      <c r="K35" s="13"/>
      <c r="L35" s="13"/>
      <c r="M35" s="13"/>
      <c r="N35" s="13"/>
      <c r="O35" s="13"/>
      <c r="P35" s="13"/>
      <c r="Q35" s="13"/>
      <c r="R35" s="13"/>
      <c r="S35" s="13"/>
      <c r="T35" s="13"/>
      <c r="U35" s="13"/>
      <c r="V35" s="13"/>
      <c r="W35" s="13"/>
      <c r="X35" s="13"/>
      <c r="Y35" s="13"/>
      <c r="Z35" s="13"/>
    </row>
    <row r="36" ht="15.75" customHeight="1">
      <c r="A36" s="13"/>
      <c r="B36" s="60" t="s">
        <v>46</v>
      </c>
      <c r="C36" s="37"/>
      <c r="D36" s="37"/>
      <c r="E36" s="37"/>
      <c r="F36" s="37"/>
      <c r="G36" s="37"/>
      <c r="H36" s="61"/>
      <c r="I36" s="61"/>
      <c r="J36" s="61"/>
      <c r="K36" s="13"/>
      <c r="L36" s="13"/>
      <c r="M36" s="13"/>
      <c r="N36" s="13"/>
      <c r="O36" s="13"/>
      <c r="P36" s="13"/>
      <c r="Q36" s="13"/>
      <c r="R36" s="13"/>
      <c r="S36" s="13"/>
      <c r="T36" s="13"/>
      <c r="U36" s="13"/>
      <c r="V36" s="13"/>
      <c r="W36" s="13"/>
      <c r="X36" s="13"/>
      <c r="Y36" s="13"/>
      <c r="Z36" s="13"/>
    </row>
    <row r="37" ht="15.75" customHeight="1">
      <c r="A37" s="13"/>
      <c r="B37" s="62"/>
      <c r="C37" s="34"/>
      <c r="D37" s="13"/>
      <c r="E37" s="13"/>
      <c r="F37" s="13"/>
      <c r="G37" s="13"/>
      <c r="H37" s="13"/>
      <c r="I37" s="13"/>
      <c r="J37" s="13"/>
      <c r="K37" s="13"/>
      <c r="L37" s="13"/>
      <c r="M37" s="13"/>
      <c r="N37" s="13"/>
      <c r="O37" s="13"/>
      <c r="P37" s="13"/>
      <c r="Q37" s="13"/>
      <c r="R37" s="13"/>
      <c r="S37" s="13"/>
      <c r="T37" s="13"/>
      <c r="U37" s="13"/>
      <c r="V37" s="13"/>
      <c r="W37" s="13"/>
      <c r="X37" s="13"/>
      <c r="Y37" s="13"/>
      <c r="Z37" s="13"/>
    </row>
    <row r="38" ht="15.75" customHeight="1">
      <c r="A38" s="13"/>
      <c r="B38" s="62"/>
      <c r="C38" s="34"/>
      <c r="D38" s="13"/>
      <c r="E38" s="13"/>
      <c r="F38" s="13"/>
      <c r="G38" s="13"/>
      <c r="H38" s="13"/>
      <c r="I38" s="13"/>
      <c r="J38" s="13"/>
      <c r="K38" s="13"/>
      <c r="L38" s="13"/>
      <c r="M38" s="13"/>
      <c r="N38" s="13"/>
      <c r="O38" s="13"/>
      <c r="P38" s="13"/>
      <c r="Q38" s="13"/>
      <c r="R38" s="13"/>
      <c r="S38" s="13"/>
      <c r="T38" s="13"/>
      <c r="U38" s="13"/>
      <c r="V38" s="13"/>
      <c r="W38" s="13"/>
      <c r="X38" s="13"/>
      <c r="Y38" s="13"/>
      <c r="Z38" s="13"/>
    </row>
    <row r="39" ht="15.75" customHeight="1">
      <c r="A39" s="13"/>
      <c r="B39" s="62"/>
      <c r="C39" s="103" t="s">
        <v>86</v>
      </c>
      <c r="D39" s="103" t="s">
        <v>87</v>
      </c>
      <c r="E39" s="103" t="s">
        <v>88</v>
      </c>
      <c r="F39" s="103" t="s">
        <v>89</v>
      </c>
      <c r="G39" s="103" t="s">
        <v>90</v>
      </c>
      <c r="H39" s="13"/>
      <c r="I39" s="104"/>
      <c r="J39" s="13"/>
      <c r="K39" s="13"/>
      <c r="L39" s="13"/>
      <c r="M39" s="13"/>
      <c r="N39" s="13"/>
      <c r="O39" s="13"/>
      <c r="P39" s="13"/>
      <c r="Q39" s="13"/>
      <c r="R39" s="13"/>
      <c r="S39" s="13"/>
      <c r="T39" s="13"/>
      <c r="U39" s="13"/>
      <c r="V39" s="13"/>
      <c r="W39" s="13"/>
      <c r="X39" s="13"/>
      <c r="Y39" s="13"/>
      <c r="Z39" s="13"/>
    </row>
    <row r="40" ht="15.75" customHeight="1">
      <c r="A40" s="13"/>
      <c r="B40" s="106" t="s">
        <v>91</v>
      </c>
      <c r="C40" s="107"/>
      <c r="D40" s="108"/>
      <c r="E40" s="107"/>
      <c r="F40" s="108"/>
      <c r="G40" s="107"/>
      <c r="H40" s="13"/>
      <c r="I40" s="104"/>
      <c r="J40" s="13"/>
      <c r="K40" s="13"/>
      <c r="L40" s="13"/>
      <c r="M40" s="13"/>
      <c r="N40" s="13"/>
      <c r="O40" s="13"/>
      <c r="P40" s="13"/>
      <c r="Q40" s="13"/>
      <c r="R40" s="13"/>
      <c r="S40" s="13"/>
      <c r="T40" s="13"/>
      <c r="U40" s="13"/>
      <c r="V40" s="13"/>
      <c r="W40" s="13"/>
      <c r="X40" s="13"/>
      <c r="Y40" s="13"/>
      <c r="Z40" s="13"/>
    </row>
    <row r="41" ht="15.75" customHeight="1">
      <c r="A41" s="13"/>
      <c r="B41" s="109" t="s">
        <v>92</v>
      </c>
      <c r="C41" s="110"/>
      <c r="D41" s="111"/>
      <c r="E41" s="111"/>
      <c r="F41" s="111"/>
      <c r="G41" s="111"/>
      <c r="H41" s="13"/>
      <c r="I41" s="13"/>
      <c r="J41" s="13"/>
      <c r="K41" s="13"/>
      <c r="L41" s="13"/>
      <c r="M41" s="13"/>
      <c r="N41" s="13"/>
      <c r="O41" s="13"/>
      <c r="P41" s="13"/>
      <c r="Q41" s="13"/>
      <c r="R41" s="13"/>
      <c r="S41" s="13"/>
      <c r="T41" s="13"/>
      <c r="U41" s="13"/>
      <c r="V41" s="13"/>
      <c r="W41" s="13"/>
      <c r="X41" s="13"/>
      <c r="Y41" s="13"/>
      <c r="Z41" s="13"/>
    </row>
    <row r="42" ht="15.75" customHeight="1">
      <c r="A42" s="13"/>
      <c r="B42" s="112" t="s">
        <v>93</v>
      </c>
      <c r="C42" s="113">
        <v>0.0</v>
      </c>
      <c r="D42" s="114">
        <f>C42/unit_three_rto</f>
        <v>0</v>
      </c>
      <c r="E42" s="115">
        <v>0.0</v>
      </c>
      <c r="F42" s="114">
        <f>E42/unit_three_rto</f>
        <v>0</v>
      </c>
      <c r="G42" s="115">
        <v>0.0</v>
      </c>
      <c r="H42" s="13"/>
      <c r="I42" s="34"/>
      <c r="J42" s="13"/>
      <c r="K42" s="13"/>
      <c r="L42" s="13"/>
      <c r="M42" s="13"/>
      <c r="N42" s="13"/>
      <c r="O42" s="13"/>
      <c r="P42" s="13"/>
      <c r="Q42" s="13"/>
      <c r="R42" s="13"/>
      <c r="S42" s="13"/>
      <c r="T42" s="13"/>
      <c r="U42" s="13"/>
      <c r="V42" s="13"/>
      <c r="W42" s="13"/>
      <c r="X42" s="13"/>
      <c r="Y42" s="13"/>
      <c r="Z42" s="13"/>
    </row>
    <row r="43" ht="15.75" customHeight="1">
      <c r="A43" s="13"/>
      <c r="B43" s="116" t="s">
        <v>94</v>
      </c>
      <c r="C43" s="113">
        <v>0.0</v>
      </c>
      <c r="D43" s="114">
        <f>C43/unit_three_rto</f>
        <v>0</v>
      </c>
      <c r="E43" s="115">
        <v>0.0</v>
      </c>
      <c r="F43" s="114">
        <f>E43/unit_three_rto</f>
        <v>0</v>
      </c>
      <c r="G43" s="115">
        <v>0.0</v>
      </c>
      <c r="H43" s="13"/>
      <c r="I43" s="34"/>
      <c r="J43" s="13"/>
      <c r="K43" s="13"/>
      <c r="L43" s="13"/>
      <c r="M43" s="13"/>
      <c r="N43" s="13"/>
      <c r="O43" s="13"/>
      <c r="P43" s="13"/>
      <c r="Q43" s="13"/>
      <c r="R43" s="13"/>
      <c r="S43" s="13"/>
      <c r="T43" s="13"/>
      <c r="U43" s="13"/>
      <c r="V43" s="13"/>
      <c r="W43" s="13"/>
      <c r="X43" s="13"/>
      <c r="Y43" s="13"/>
      <c r="Z43" s="13"/>
    </row>
    <row r="44" ht="15.75" customHeight="1">
      <c r="A44" s="13"/>
      <c r="B44" s="117" t="s">
        <v>95</v>
      </c>
      <c r="C44" s="118">
        <f>SUM(C42:C43)</f>
        <v>0</v>
      </c>
      <c r="D44" s="119">
        <f>C44/unit_three_rto</f>
        <v>0</v>
      </c>
      <c r="E44" s="119">
        <f>SUM(E42:E43)</f>
        <v>0</v>
      </c>
      <c r="F44" s="119">
        <f>E44/unit_three_rto</f>
        <v>0</v>
      </c>
      <c r="G44" s="119"/>
      <c r="H44" s="13"/>
      <c r="I44" s="13"/>
      <c r="J44" s="13"/>
      <c r="K44" s="13"/>
      <c r="L44" s="13"/>
      <c r="M44" s="13"/>
      <c r="N44" s="13"/>
      <c r="O44" s="13"/>
      <c r="P44" s="13"/>
      <c r="Q44" s="13"/>
      <c r="R44" s="13"/>
      <c r="S44" s="13"/>
      <c r="T44" s="13"/>
      <c r="U44" s="13"/>
      <c r="V44" s="13"/>
      <c r="W44" s="13"/>
      <c r="X44" s="13"/>
      <c r="Y44" s="13"/>
      <c r="Z44" s="13"/>
    </row>
    <row r="45" ht="15.75" customHeight="1">
      <c r="A45" s="13"/>
      <c r="B45" s="120" t="s">
        <v>96</v>
      </c>
      <c r="C45" s="121"/>
      <c r="D45" s="122"/>
      <c r="E45" s="122"/>
      <c r="F45" s="122"/>
      <c r="G45" s="122"/>
      <c r="H45" s="13"/>
      <c r="I45" s="13"/>
      <c r="J45" s="13"/>
      <c r="K45" s="13"/>
      <c r="L45" s="13"/>
      <c r="M45" s="13"/>
      <c r="N45" s="13"/>
      <c r="O45" s="13"/>
      <c r="P45" s="13"/>
      <c r="Q45" s="13"/>
      <c r="R45" s="13"/>
      <c r="S45" s="13"/>
      <c r="T45" s="13"/>
      <c r="U45" s="13"/>
      <c r="V45" s="13"/>
      <c r="W45" s="13"/>
      <c r="X45" s="13"/>
      <c r="Y45" s="13"/>
      <c r="Z45" s="13"/>
    </row>
    <row r="46" ht="15.75" customHeight="1">
      <c r="A46" s="13"/>
      <c r="B46" s="112" t="s">
        <v>542</v>
      </c>
      <c r="C46" s="113">
        <f>'Assumptions (P3RTO)'!D104*'Assumptions (P3RTO)'!D105*'Assumptions (P3RTO)'!D106</f>
        <v>576000</v>
      </c>
      <c r="D46" s="114">
        <f>C46/unit_three_rto</f>
        <v>15567.56757</v>
      </c>
      <c r="E46" s="115">
        <v>0.0</v>
      </c>
      <c r="F46" s="114">
        <f>E46/unit_three_rto</f>
        <v>0</v>
      </c>
      <c r="G46" s="115">
        <f t="shared" ref="G46:G49" si="5">C46</f>
        <v>576000</v>
      </c>
      <c r="H46" s="13"/>
      <c r="I46" s="104"/>
      <c r="J46" s="13"/>
      <c r="K46" s="13"/>
      <c r="L46" s="13"/>
      <c r="M46" s="13"/>
      <c r="N46" s="13"/>
      <c r="O46" s="13"/>
      <c r="P46" s="13"/>
      <c r="Q46" s="13"/>
      <c r="R46" s="13"/>
      <c r="S46" s="13"/>
      <c r="T46" s="13"/>
      <c r="U46" s="13"/>
      <c r="V46" s="13"/>
      <c r="W46" s="13"/>
      <c r="X46" s="13"/>
      <c r="Y46" s="13"/>
      <c r="Z46" s="13"/>
    </row>
    <row r="47" ht="15.75" customHeight="1">
      <c r="A47" s="13"/>
      <c r="B47" s="112" t="s">
        <v>97</v>
      </c>
      <c r="C47" s="113">
        <f>'Assumptions (P3RTO)'!D107*(1+'Assumptions (P3RTO)'!D108)*(1-'Assumptions (P3RTO)'!D109-'Assumptions (P3RTO)'!D110)*unit_three_rto</f>
        <v>6163253.426</v>
      </c>
      <c r="D47" s="114">
        <f>C47/unit_three_rto</f>
        <v>166574.4169</v>
      </c>
      <c r="E47" s="115">
        <v>0.0</v>
      </c>
      <c r="F47" s="114">
        <f>E47/unit_three_rto</f>
        <v>0</v>
      </c>
      <c r="G47" s="115">
        <f t="shared" si="5"/>
        <v>6163253.426</v>
      </c>
      <c r="H47" s="13"/>
      <c r="I47" s="104"/>
      <c r="J47" s="13"/>
      <c r="K47" s="13"/>
      <c r="L47" s="13"/>
      <c r="M47" s="13"/>
      <c r="N47" s="13"/>
      <c r="O47" s="13"/>
      <c r="P47" s="13"/>
      <c r="Q47" s="13"/>
      <c r="R47" s="13"/>
      <c r="S47" s="13"/>
      <c r="T47" s="13"/>
      <c r="U47" s="13"/>
      <c r="V47" s="13"/>
      <c r="W47" s="13"/>
      <c r="X47" s="13"/>
      <c r="Y47" s="13"/>
      <c r="Z47" s="13"/>
    </row>
    <row r="48" ht="15.75" customHeight="1">
      <c r="A48" s="13"/>
      <c r="B48" s="112" t="s">
        <v>98</v>
      </c>
      <c r="C48" s="113">
        <f>'Assumptions (P3RTO)'!D111*SUM(C46:C47)</f>
        <v>336962.6713</v>
      </c>
      <c r="D48" s="114">
        <f>C48/unit_three_rto</f>
        <v>9107.099225</v>
      </c>
      <c r="E48" s="115">
        <v>0.0</v>
      </c>
      <c r="F48" s="114">
        <f>E48/unit_three_rto</f>
        <v>0</v>
      </c>
      <c r="G48" s="115">
        <f t="shared" si="5"/>
        <v>336962.6713</v>
      </c>
      <c r="H48" s="13"/>
      <c r="I48" s="104"/>
      <c r="J48" s="13"/>
      <c r="K48" s="13"/>
      <c r="L48" s="13"/>
      <c r="M48" s="13"/>
      <c r="N48" s="13"/>
      <c r="O48" s="13"/>
      <c r="P48" s="13"/>
      <c r="Q48" s="13"/>
      <c r="R48" s="13"/>
      <c r="S48" s="13"/>
      <c r="T48" s="13"/>
      <c r="U48" s="13"/>
      <c r="V48" s="13"/>
      <c r="W48" s="13"/>
      <c r="X48" s="13"/>
      <c r="Y48" s="13"/>
      <c r="Z48" s="13"/>
    </row>
    <row r="49" ht="15.75" customHeight="1">
      <c r="A49" s="13"/>
      <c r="B49" s="112" t="s">
        <v>99</v>
      </c>
      <c r="C49" s="113">
        <f>SUM(C46:C47)*('Assumptions (P3RTO)'!D112+'Assumptions (P3RTO)'!D113)</f>
        <v>471747.7398</v>
      </c>
      <c r="D49" s="114">
        <f>C49/unit_three_rto</f>
        <v>12749.93891</v>
      </c>
      <c r="E49" s="115">
        <v>0.0</v>
      </c>
      <c r="F49" s="114">
        <f>E49/unit_three_rto</f>
        <v>0</v>
      </c>
      <c r="G49" s="115">
        <f t="shared" si="5"/>
        <v>471747.7398</v>
      </c>
      <c r="H49" s="13"/>
      <c r="I49" s="104"/>
      <c r="J49" s="13"/>
      <c r="K49" s="13"/>
      <c r="L49" s="13"/>
      <c r="M49" s="13"/>
      <c r="N49" s="13"/>
      <c r="O49" s="13"/>
      <c r="P49" s="13"/>
      <c r="Q49" s="13"/>
      <c r="R49" s="13"/>
      <c r="S49" s="13"/>
      <c r="T49" s="13"/>
      <c r="U49" s="13"/>
      <c r="V49" s="13"/>
      <c r="W49" s="13"/>
      <c r="X49" s="13"/>
      <c r="Y49" s="13"/>
      <c r="Z49" s="13"/>
    </row>
    <row r="50" ht="15.75" customHeight="1">
      <c r="A50" s="13"/>
      <c r="B50" s="112" t="s">
        <v>100</v>
      </c>
      <c r="C50" s="113">
        <f>SUM(C46:C47)*'Assumptions (P3RTO)'!D115</f>
        <v>336962.6713</v>
      </c>
      <c r="D50" s="114">
        <f>C50/unit_three_rto</f>
        <v>9107.099225</v>
      </c>
      <c r="E50" s="115">
        <v>0.0</v>
      </c>
      <c r="F50" s="114">
        <f>E50/unit_three_rto</f>
        <v>0</v>
      </c>
      <c r="G50" s="115">
        <v>0.0</v>
      </c>
      <c r="H50" s="13"/>
      <c r="I50" s="104"/>
      <c r="J50" s="95"/>
      <c r="K50" s="13"/>
      <c r="L50" s="13"/>
      <c r="M50" s="13"/>
      <c r="N50" s="13"/>
      <c r="O50" s="13"/>
      <c r="P50" s="13"/>
      <c r="Q50" s="13"/>
      <c r="R50" s="13"/>
      <c r="S50" s="13"/>
      <c r="T50" s="13"/>
      <c r="U50" s="13"/>
      <c r="V50" s="13"/>
      <c r="W50" s="13"/>
      <c r="X50" s="13"/>
      <c r="Y50" s="13"/>
      <c r="Z50" s="13"/>
    </row>
    <row r="51" ht="15.75" customHeight="1">
      <c r="A51" s="13"/>
      <c r="B51" s="112" t="s">
        <v>101</v>
      </c>
      <c r="C51" s="113">
        <f>'Assumptions (P3RTO)'!D123</f>
        <v>592439.1111</v>
      </c>
      <c r="D51" s="114">
        <f>C51/unit_three_rto</f>
        <v>16011.86787</v>
      </c>
      <c r="E51" s="115">
        <v>0.0</v>
      </c>
      <c r="F51" s="114">
        <f>E51/unit_three_rto</f>
        <v>0</v>
      </c>
      <c r="G51" s="115">
        <v>0.0</v>
      </c>
      <c r="H51" s="13"/>
      <c r="I51" s="104"/>
      <c r="J51" s="95"/>
      <c r="K51" s="13"/>
      <c r="L51" s="13"/>
      <c r="M51" s="13"/>
      <c r="N51" s="13"/>
      <c r="O51" s="13"/>
      <c r="P51" s="13"/>
      <c r="Q51" s="13"/>
      <c r="R51" s="13"/>
      <c r="S51" s="13"/>
      <c r="T51" s="13"/>
      <c r="U51" s="13"/>
      <c r="V51" s="13"/>
      <c r="W51" s="13"/>
      <c r="X51" s="13"/>
      <c r="Y51" s="13"/>
      <c r="Z51" s="13"/>
    </row>
    <row r="52" ht="15.75" customHeight="1">
      <c r="A52" s="13"/>
      <c r="B52" s="116" t="s">
        <v>102</v>
      </c>
      <c r="C52" s="125">
        <v>0.0</v>
      </c>
      <c r="D52" s="114">
        <f>C52/unit_three_rto</f>
        <v>0</v>
      </c>
      <c r="E52" s="126">
        <v>0.0</v>
      </c>
      <c r="F52" s="114">
        <f>E52/unit_three_rto</f>
        <v>0</v>
      </c>
      <c r="G52" s="115">
        <f>C52</f>
        <v>0</v>
      </c>
      <c r="H52" s="13"/>
      <c r="I52" s="104"/>
      <c r="J52" s="95"/>
      <c r="K52" s="13"/>
      <c r="L52" s="13"/>
      <c r="M52" s="13"/>
      <c r="N52" s="13"/>
      <c r="O52" s="13"/>
      <c r="P52" s="13"/>
      <c r="Q52" s="13"/>
      <c r="R52" s="13"/>
      <c r="S52" s="13"/>
      <c r="T52" s="13"/>
      <c r="U52" s="13"/>
      <c r="V52" s="13"/>
      <c r="W52" s="13"/>
      <c r="X52" s="13"/>
      <c r="Y52" s="13"/>
      <c r="Z52" s="13"/>
    </row>
    <row r="53" ht="15.75" customHeight="1">
      <c r="A53" s="13"/>
      <c r="B53" s="117" t="s">
        <v>95</v>
      </c>
      <c r="C53" s="118">
        <f>SUM(C46:C52)</f>
        <v>8477365.62</v>
      </c>
      <c r="D53" s="118">
        <f>C53/unit_three_rto</f>
        <v>229117.9897</v>
      </c>
      <c r="E53" s="118">
        <f>SUM(E46:E52)</f>
        <v>0</v>
      </c>
      <c r="F53" s="118">
        <f>E53/unit_three_rto</f>
        <v>0</v>
      </c>
      <c r="G53" s="118">
        <f>SUM(G46:G52)</f>
        <v>7547963.837</v>
      </c>
      <c r="H53" s="13"/>
      <c r="I53" s="13"/>
      <c r="J53" s="13"/>
      <c r="K53" s="13"/>
      <c r="L53" s="13"/>
      <c r="M53" s="13"/>
      <c r="N53" s="13"/>
      <c r="O53" s="13"/>
      <c r="P53" s="13"/>
      <c r="Q53" s="13"/>
      <c r="R53" s="13"/>
      <c r="S53" s="13"/>
      <c r="T53" s="13"/>
      <c r="U53" s="13"/>
      <c r="V53" s="13"/>
      <c r="W53" s="13"/>
      <c r="X53" s="13"/>
      <c r="Y53" s="13"/>
      <c r="Z53" s="13"/>
    </row>
    <row r="54" ht="15.75" customHeight="1">
      <c r="A54" s="13"/>
      <c r="B54" s="127" t="s">
        <v>103</v>
      </c>
      <c r="C54" s="128">
        <f>C44+C53</f>
        <v>8477365.62</v>
      </c>
      <c r="D54" s="128">
        <f>C54/unit_three_rto</f>
        <v>229117.9897</v>
      </c>
      <c r="E54" s="128">
        <f>E44+E53</f>
        <v>0</v>
      </c>
      <c r="F54" s="128">
        <f>E54/unit_three_rto</f>
        <v>0</v>
      </c>
      <c r="G54" s="128">
        <f>G44+G53</f>
        <v>7547963.837</v>
      </c>
      <c r="H54" s="13"/>
      <c r="I54" s="13"/>
      <c r="J54" s="13"/>
      <c r="K54" s="13"/>
      <c r="L54" s="13"/>
      <c r="M54" s="13"/>
      <c r="N54" s="13"/>
      <c r="O54" s="13"/>
      <c r="P54" s="13"/>
      <c r="Q54" s="13"/>
      <c r="R54" s="13"/>
      <c r="S54" s="13"/>
      <c r="T54" s="13"/>
      <c r="U54" s="13"/>
      <c r="V54" s="13"/>
      <c r="W54" s="13"/>
      <c r="X54" s="13"/>
      <c r="Y54" s="13"/>
      <c r="Z54" s="13"/>
    </row>
    <row r="55" ht="15.75" customHeight="1">
      <c r="A55" s="13"/>
      <c r="B55" s="129"/>
      <c r="C55" s="130"/>
      <c r="D55" s="130"/>
      <c r="E55" s="130"/>
      <c r="F55" s="130"/>
      <c r="G55" s="130"/>
      <c r="H55" s="13"/>
      <c r="I55" s="13"/>
      <c r="J55" s="13"/>
      <c r="K55" s="13"/>
      <c r="L55" s="13"/>
      <c r="M55" s="13"/>
      <c r="N55" s="13"/>
      <c r="O55" s="13"/>
      <c r="P55" s="13"/>
      <c r="Q55" s="13"/>
      <c r="R55" s="13"/>
      <c r="S55" s="13"/>
      <c r="T55" s="13"/>
      <c r="U55" s="13"/>
      <c r="V55" s="13"/>
      <c r="W55" s="13"/>
      <c r="X55" s="13"/>
      <c r="Y55" s="13"/>
      <c r="Z55" s="13"/>
    </row>
    <row r="56" ht="15.75" customHeight="1">
      <c r="A56" s="13"/>
      <c r="B56" s="106" t="s">
        <v>104</v>
      </c>
      <c r="C56" s="107"/>
      <c r="D56" s="108"/>
      <c r="E56" s="107"/>
      <c r="F56" s="108"/>
      <c r="G56" s="107"/>
      <c r="H56" s="13"/>
      <c r="I56" s="13"/>
      <c r="J56" s="13"/>
      <c r="K56" s="13"/>
      <c r="L56" s="13"/>
      <c r="M56" s="13"/>
      <c r="N56" s="13"/>
      <c r="O56" s="13"/>
      <c r="P56" s="13"/>
      <c r="Q56" s="13"/>
      <c r="R56" s="13"/>
      <c r="S56" s="13"/>
      <c r="T56" s="13"/>
      <c r="U56" s="13"/>
      <c r="V56" s="13"/>
      <c r="W56" s="13"/>
      <c r="X56" s="13"/>
      <c r="Y56" s="13"/>
      <c r="Z56" s="13"/>
    </row>
    <row r="57" ht="15.75" customHeight="1">
      <c r="A57" s="13"/>
      <c r="B57" s="120" t="s">
        <v>105</v>
      </c>
      <c r="C57" s="121"/>
      <c r="D57" s="122"/>
      <c r="E57" s="122"/>
      <c r="F57" s="122"/>
      <c r="G57" s="122"/>
      <c r="H57" s="13"/>
      <c r="I57" s="13"/>
      <c r="J57" s="13"/>
      <c r="K57" s="13"/>
      <c r="L57" s="13"/>
      <c r="M57" s="13"/>
      <c r="N57" s="13"/>
      <c r="O57" s="13"/>
      <c r="P57" s="13"/>
      <c r="Q57" s="13"/>
      <c r="R57" s="13"/>
      <c r="S57" s="13"/>
      <c r="T57" s="13"/>
      <c r="U57" s="13"/>
      <c r="V57" s="13"/>
      <c r="W57" s="13"/>
      <c r="X57" s="13"/>
      <c r="Y57" s="13"/>
      <c r="Z57" s="13"/>
    </row>
    <row r="58" ht="15.75" customHeight="1">
      <c r="A58" s="13"/>
      <c r="B58" s="112" t="s">
        <v>106</v>
      </c>
      <c r="C58" s="113">
        <f>C53*'Assumptions (P3RTO)'!D131</f>
        <v>86287.12525</v>
      </c>
      <c r="D58" s="114">
        <f>C58/unit_three_rto</f>
        <v>2332.084466</v>
      </c>
      <c r="E58" s="115">
        <v>0.0</v>
      </c>
      <c r="F58" s="114">
        <f>E58/unit_three_rto</f>
        <v>0</v>
      </c>
      <c r="G58" s="115">
        <f t="shared" ref="G58:G63" si="6">C58</f>
        <v>86287.12525</v>
      </c>
      <c r="H58" s="13"/>
      <c r="I58" s="104"/>
      <c r="J58" s="13"/>
      <c r="K58" s="13"/>
      <c r="L58" s="13"/>
      <c r="M58" s="13"/>
      <c r="N58" s="13"/>
      <c r="O58" s="13"/>
      <c r="P58" s="13"/>
      <c r="Q58" s="13"/>
      <c r="R58" s="13"/>
      <c r="S58" s="13"/>
      <c r="T58" s="13"/>
      <c r="U58" s="13"/>
      <c r="V58" s="13"/>
      <c r="W58" s="13"/>
      <c r="X58" s="13"/>
      <c r="Y58" s="13"/>
      <c r="Z58" s="13"/>
    </row>
    <row r="59" ht="15.75" customHeight="1">
      <c r="A59" s="13"/>
      <c r="B59" s="112" t="s">
        <v>107</v>
      </c>
      <c r="C59" s="113">
        <f>C53*'Assumptions (P3RTO)'!D132</f>
        <v>17626.36959</v>
      </c>
      <c r="D59" s="114">
        <f>C59/unit_three_rto</f>
        <v>476.3883673</v>
      </c>
      <c r="E59" s="115">
        <v>0.0</v>
      </c>
      <c r="F59" s="114">
        <f>E59/unit_three_rto</f>
        <v>0</v>
      </c>
      <c r="G59" s="115">
        <f t="shared" si="6"/>
        <v>17626.36959</v>
      </c>
      <c r="H59" s="13"/>
      <c r="I59" s="104"/>
      <c r="J59" s="13"/>
      <c r="K59" s="13"/>
      <c r="L59" s="13"/>
      <c r="M59" s="13"/>
      <c r="N59" s="13"/>
      <c r="O59" s="13"/>
      <c r="P59" s="13"/>
      <c r="Q59" s="13"/>
      <c r="R59" s="13"/>
      <c r="S59" s="13"/>
      <c r="T59" s="13"/>
      <c r="U59" s="13"/>
      <c r="V59" s="13"/>
      <c r="W59" s="13"/>
      <c r="X59" s="13"/>
      <c r="Y59" s="13"/>
      <c r="Z59" s="13"/>
    </row>
    <row r="60" ht="15.75" customHeight="1">
      <c r="A60" s="13"/>
      <c r="B60" s="112" t="s">
        <v>108</v>
      </c>
      <c r="C60" s="113">
        <f>C53*'Assumptions (P3RTO)'!D133</f>
        <v>23813.90478</v>
      </c>
      <c r="D60" s="114">
        <f>C60/unit_three_rto</f>
        <v>643.6190482</v>
      </c>
      <c r="E60" s="115">
        <v>0.0</v>
      </c>
      <c r="F60" s="114">
        <f>E60/unit_three_rto</f>
        <v>0</v>
      </c>
      <c r="G60" s="115">
        <f t="shared" si="6"/>
        <v>23813.90478</v>
      </c>
      <c r="H60" s="13"/>
      <c r="I60" s="104"/>
      <c r="J60" s="13"/>
      <c r="K60" s="13"/>
      <c r="L60" s="13"/>
      <c r="M60" s="13"/>
      <c r="N60" s="13"/>
      <c r="O60" s="13"/>
      <c r="P60" s="13"/>
      <c r="Q60" s="13"/>
      <c r="R60" s="13"/>
      <c r="S60" s="13"/>
      <c r="T60" s="13"/>
      <c r="U60" s="13"/>
      <c r="V60" s="13"/>
      <c r="W60" s="13"/>
      <c r="X60" s="13"/>
      <c r="Y60" s="13"/>
      <c r="Z60" s="13"/>
    </row>
    <row r="61" ht="15.75" customHeight="1">
      <c r="A61" s="13"/>
      <c r="B61" s="112" t="s">
        <v>102</v>
      </c>
      <c r="C61" s="113">
        <v>0.0</v>
      </c>
      <c r="D61" s="114">
        <f>C61/unit_three_rto</f>
        <v>0</v>
      </c>
      <c r="E61" s="115">
        <v>0.0</v>
      </c>
      <c r="F61" s="114">
        <f>E61/unit_three_rto</f>
        <v>0</v>
      </c>
      <c r="G61" s="115">
        <f t="shared" si="6"/>
        <v>0</v>
      </c>
      <c r="H61" s="13"/>
      <c r="I61" s="104"/>
      <c r="J61" s="95"/>
      <c r="K61" s="13"/>
      <c r="L61" s="13"/>
      <c r="M61" s="13"/>
      <c r="N61" s="13"/>
      <c r="O61" s="13"/>
      <c r="P61" s="13"/>
      <c r="Q61" s="13"/>
      <c r="R61" s="13"/>
      <c r="S61" s="13"/>
      <c r="T61" s="13"/>
      <c r="U61" s="13"/>
      <c r="V61" s="13"/>
      <c r="W61" s="13"/>
      <c r="X61" s="13"/>
      <c r="Y61" s="13"/>
      <c r="Z61" s="13"/>
    </row>
    <row r="62" ht="15.75" customHeight="1">
      <c r="A62" s="13"/>
      <c r="B62" s="112" t="s">
        <v>102</v>
      </c>
      <c r="C62" s="113">
        <v>0.0</v>
      </c>
      <c r="D62" s="114">
        <f>C62/unit_three_rto</f>
        <v>0</v>
      </c>
      <c r="E62" s="115">
        <v>0.0</v>
      </c>
      <c r="F62" s="114">
        <f>E62/unit_three_rto</f>
        <v>0</v>
      </c>
      <c r="G62" s="115">
        <f t="shared" si="6"/>
        <v>0</v>
      </c>
      <c r="H62" s="13"/>
      <c r="I62" s="104"/>
      <c r="J62" s="95"/>
      <c r="K62" s="13"/>
      <c r="L62" s="13"/>
      <c r="M62" s="13"/>
      <c r="N62" s="13"/>
      <c r="O62" s="13"/>
      <c r="P62" s="13"/>
      <c r="Q62" s="13"/>
      <c r="R62" s="13"/>
      <c r="S62" s="13"/>
      <c r="T62" s="13"/>
      <c r="U62" s="13"/>
      <c r="V62" s="13"/>
      <c r="W62" s="13"/>
      <c r="X62" s="13"/>
      <c r="Y62" s="13"/>
      <c r="Z62" s="13"/>
    </row>
    <row r="63" ht="15.75" customHeight="1">
      <c r="A63" s="13"/>
      <c r="B63" s="116" t="s">
        <v>102</v>
      </c>
      <c r="C63" s="125">
        <v>0.0</v>
      </c>
      <c r="D63" s="114">
        <f>C63/unit_three_rto</f>
        <v>0</v>
      </c>
      <c r="E63" s="126">
        <v>0.0</v>
      </c>
      <c r="F63" s="114">
        <f>E63/unit_three_rto</f>
        <v>0</v>
      </c>
      <c r="G63" s="115">
        <f t="shared" si="6"/>
        <v>0</v>
      </c>
      <c r="H63" s="13"/>
      <c r="I63" s="104"/>
      <c r="J63" s="95"/>
      <c r="K63" s="13"/>
      <c r="L63" s="13"/>
      <c r="M63" s="13"/>
      <c r="N63" s="13"/>
      <c r="O63" s="13"/>
      <c r="P63" s="13"/>
      <c r="Q63" s="13"/>
      <c r="R63" s="13"/>
      <c r="S63" s="13"/>
      <c r="T63" s="13"/>
      <c r="U63" s="13"/>
      <c r="V63" s="13"/>
      <c r="W63" s="13"/>
      <c r="X63" s="13"/>
      <c r="Y63" s="13"/>
      <c r="Z63" s="13"/>
    </row>
    <row r="64" ht="15.75" customHeight="1">
      <c r="A64" s="13"/>
      <c r="B64" s="117" t="s">
        <v>95</v>
      </c>
      <c r="C64" s="118">
        <f>SUM(C57:C63)</f>
        <v>127727.3996</v>
      </c>
      <c r="D64" s="118">
        <f>C64/unit_three_rto</f>
        <v>3452.091882</v>
      </c>
      <c r="E64" s="118">
        <f>SUM(E57:E63)</f>
        <v>0</v>
      </c>
      <c r="F64" s="118">
        <f>E64/unit_three_rto</f>
        <v>0</v>
      </c>
      <c r="G64" s="118">
        <f>SUM(G57:G63)</f>
        <v>127727.3996</v>
      </c>
      <c r="H64" s="13"/>
      <c r="I64" s="13"/>
      <c r="J64" s="13"/>
      <c r="K64" s="13"/>
      <c r="L64" s="13"/>
      <c r="M64" s="13"/>
      <c r="N64" s="13"/>
      <c r="O64" s="13"/>
      <c r="P64" s="13"/>
      <c r="Q64" s="13"/>
      <c r="R64" s="13"/>
      <c r="S64" s="13"/>
      <c r="T64" s="13"/>
      <c r="U64" s="13"/>
      <c r="V64" s="13"/>
      <c r="W64" s="13"/>
      <c r="X64" s="13"/>
      <c r="Y64" s="13"/>
      <c r="Z64" s="13"/>
    </row>
    <row r="65" ht="15.75" customHeight="1">
      <c r="A65" s="13"/>
      <c r="B65" s="120" t="s">
        <v>543</v>
      </c>
      <c r="C65" s="132"/>
      <c r="D65" s="133"/>
      <c r="E65" s="133"/>
      <c r="F65" s="133"/>
      <c r="G65" s="133"/>
      <c r="H65" s="13"/>
      <c r="I65" s="13"/>
      <c r="J65" s="13"/>
      <c r="K65" s="13"/>
      <c r="L65" s="13"/>
      <c r="M65" s="13"/>
      <c r="N65" s="13"/>
      <c r="O65" s="13"/>
      <c r="P65" s="13"/>
      <c r="Q65" s="13"/>
      <c r="R65" s="13"/>
      <c r="S65" s="13"/>
      <c r="T65" s="13"/>
      <c r="U65" s="13"/>
      <c r="V65" s="13"/>
      <c r="W65" s="13"/>
      <c r="X65" s="13"/>
      <c r="Y65" s="13"/>
      <c r="Z65" s="13"/>
    </row>
    <row r="66" ht="15.75" customHeight="1">
      <c r="A66" s="13"/>
      <c r="B66" s="134" t="s">
        <v>110</v>
      </c>
      <c r="C66" s="135">
        <f>'Loan Sizing (P3RTO)'!D53</f>
        <v>2004.871253</v>
      </c>
      <c r="D66" s="136">
        <f>C66/unit_three_rto</f>
        <v>54.18570953</v>
      </c>
      <c r="E66" s="115">
        <v>0.0</v>
      </c>
      <c r="F66" s="136">
        <v>0.0</v>
      </c>
      <c r="G66" s="115">
        <f t="shared" ref="G66:G67" si="7">C66</f>
        <v>2004.871253</v>
      </c>
      <c r="H66" s="13"/>
      <c r="I66" s="13"/>
      <c r="J66" s="13"/>
      <c r="K66" s="13"/>
      <c r="L66" s="13"/>
      <c r="M66" s="13"/>
      <c r="N66" s="13"/>
      <c r="O66" s="13"/>
      <c r="P66" s="13"/>
      <c r="Q66" s="13"/>
      <c r="R66" s="13"/>
      <c r="S66" s="13"/>
      <c r="T66" s="13"/>
      <c r="U66" s="13"/>
      <c r="V66" s="13"/>
      <c r="W66" s="13"/>
      <c r="X66" s="13"/>
      <c r="Y66" s="13"/>
      <c r="Z66" s="13"/>
    </row>
    <row r="67" ht="15.75" customHeight="1">
      <c r="A67" s="13"/>
      <c r="B67" s="134" t="s">
        <v>111</v>
      </c>
      <c r="C67" s="113">
        <f>'Loan Sizing (P3RTO)'!D50</f>
        <v>10024.35626</v>
      </c>
      <c r="D67" s="136">
        <f>C67/unit_three_rto</f>
        <v>270.9285476</v>
      </c>
      <c r="E67" s="115">
        <v>0.0</v>
      </c>
      <c r="F67" s="136">
        <v>0.0</v>
      </c>
      <c r="G67" s="115">
        <f t="shared" si="7"/>
        <v>10024.35626</v>
      </c>
      <c r="H67" s="13"/>
      <c r="I67" s="13"/>
      <c r="J67" s="13"/>
      <c r="K67" s="13"/>
      <c r="L67" s="13"/>
      <c r="M67" s="13"/>
      <c r="N67" s="13"/>
      <c r="O67" s="13"/>
      <c r="P67" s="13"/>
      <c r="Q67" s="13"/>
      <c r="R67" s="13"/>
      <c r="S67" s="13"/>
      <c r="T67" s="13"/>
      <c r="U67" s="13"/>
      <c r="V67" s="13"/>
      <c r="W67" s="13"/>
      <c r="X67" s="13"/>
      <c r="Y67" s="13"/>
      <c r="Z67" s="13"/>
    </row>
    <row r="68" ht="15.75" customHeight="1">
      <c r="A68" s="13"/>
      <c r="B68" s="120" t="s">
        <v>112</v>
      </c>
      <c r="C68" s="121"/>
      <c r="D68" s="137"/>
      <c r="E68" s="122"/>
      <c r="F68" s="137"/>
      <c r="G68" s="122"/>
      <c r="H68" s="13"/>
      <c r="I68" s="13"/>
      <c r="J68" s="13"/>
      <c r="K68" s="13"/>
      <c r="L68" s="13"/>
      <c r="M68" s="13"/>
      <c r="N68" s="13"/>
      <c r="O68" s="13"/>
      <c r="P68" s="13"/>
      <c r="Q68" s="13"/>
      <c r="R68" s="13"/>
      <c r="S68" s="13"/>
      <c r="T68" s="13"/>
      <c r="U68" s="13"/>
      <c r="V68" s="13"/>
      <c r="W68" s="13"/>
      <c r="X68" s="13"/>
      <c r="Y68" s="13"/>
      <c r="Z68" s="13"/>
    </row>
    <row r="69" ht="15.75" customHeight="1">
      <c r="A69" s="13"/>
      <c r="B69" s="112" t="s">
        <v>113</v>
      </c>
      <c r="C69" s="113">
        <f>'Loan Sizing (P3RTO)'!D25*'Assumptions (P3RTO)'!D136</f>
        <v>77445.83718</v>
      </c>
      <c r="D69" s="114">
        <f>C69/unit_three_rto</f>
        <v>2093.130734</v>
      </c>
      <c r="E69" s="115">
        <v>0.0</v>
      </c>
      <c r="F69" s="114">
        <f>E69/unit_three_rto</f>
        <v>0</v>
      </c>
      <c r="G69" s="115">
        <f t="shared" ref="G69:G77" si="8">C69</f>
        <v>77445.83718</v>
      </c>
      <c r="H69" s="13"/>
      <c r="I69" s="104"/>
      <c r="J69" s="13"/>
      <c r="K69" s="13"/>
      <c r="L69" s="13"/>
      <c r="M69" s="13"/>
      <c r="N69" s="13"/>
      <c r="O69" s="13"/>
      <c r="P69" s="13"/>
      <c r="Q69" s="13"/>
      <c r="R69" s="13"/>
      <c r="S69" s="13"/>
      <c r="T69" s="13"/>
      <c r="U69" s="13"/>
      <c r="V69" s="13"/>
      <c r="W69" s="13"/>
      <c r="X69" s="13"/>
      <c r="Y69" s="13"/>
      <c r="Z69" s="13"/>
    </row>
    <row r="70" ht="15.75" customHeight="1">
      <c r="A70" s="13"/>
      <c r="B70" s="112" t="s">
        <v>114</v>
      </c>
      <c r="C70" s="113">
        <f>'Assumptions (P3RTO)'!D137</f>
        <v>572619.999</v>
      </c>
      <c r="D70" s="114">
        <f>C70/unit_three_rto</f>
        <v>15476.21619</v>
      </c>
      <c r="E70" s="115">
        <v>0.0</v>
      </c>
      <c r="F70" s="114">
        <f>E70/unit_three_rto</f>
        <v>0</v>
      </c>
      <c r="G70" s="115">
        <f t="shared" si="8"/>
        <v>572619.999</v>
      </c>
      <c r="H70" s="13"/>
      <c r="I70" s="104"/>
      <c r="J70" s="13"/>
      <c r="K70" s="13"/>
      <c r="L70" s="13"/>
      <c r="M70" s="13"/>
      <c r="N70" s="13"/>
      <c r="O70" s="13"/>
      <c r="P70" s="13"/>
      <c r="Q70" s="13"/>
      <c r="R70" s="13"/>
      <c r="S70" s="13"/>
      <c r="T70" s="13"/>
      <c r="U70" s="13"/>
      <c r="V70" s="13"/>
      <c r="W70" s="13"/>
      <c r="X70" s="13"/>
      <c r="Y70" s="13"/>
      <c r="Z70" s="13"/>
    </row>
    <row r="71" ht="15.75" customHeight="1">
      <c r="A71" s="13"/>
      <c r="B71" s="112" t="s">
        <v>115</v>
      </c>
      <c r="C71" s="113">
        <f>'Assumptions (P3RTO)'!D138*'Sources &amp; Uses (P3RTO)'!$C$53</f>
        <v>28200.43876</v>
      </c>
      <c r="D71" s="114">
        <f>C71/unit_three_rto</f>
        <v>762.1740206</v>
      </c>
      <c r="E71" s="115">
        <v>0.0</v>
      </c>
      <c r="F71" s="114">
        <f>E71/unit_three_rto</f>
        <v>0</v>
      </c>
      <c r="G71" s="115">
        <f t="shared" si="8"/>
        <v>28200.43876</v>
      </c>
      <c r="H71" s="13"/>
      <c r="I71" s="104"/>
      <c r="J71" s="13"/>
      <c r="K71" s="13"/>
      <c r="L71" s="13"/>
      <c r="M71" s="13"/>
      <c r="N71" s="13"/>
      <c r="O71" s="13"/>
      <c r="P71" s="13"/>
      <c r="Q71" s="13"/>
      <c r="R71" s="13"/>
      <c r="S71" s="13"/>
      <c r="T71" s="13"/>
      <c r="U71" s="13"/>
      <c r="V71" s="13"/>
      <c r="W71" s="13"/>
      <c r="X71" s="13"/>
      <c r="Y71" s="13"/>
      <c r="Z71" s="13"/>
    </row>
    <row r="72" ht="15.75" customHeight="1">
      <c r="A72" s="13"/>
      <c r="B72" s="112" t="s">
        <v>117</v>
      </c>
      <c r="C72" s="113">
        <f>'Assumptions (P3RTO)'!D140</f>
        <v>75000</v>
      </c>
      <c r="D72" s="114">
        <f>C72/unit_three_rto</f>
        <v>2027.027027</v>
      </c>
      <c r="E72" s="115">
        <v>0.0</v>
      </c>
      <c r="F72" s="114">
        <f>E72/unit_three_rto</f>
        <v>0</v>
      </c>
      <c r="G72" s="115">
        <f t="shared" si="8"/>
        <v>75000</v>
      </c>
      <c r="H72" s="13"/>
      <c r="I72" s="104"/>
      <c r="J72" s="13"/>
      <c r="K72" s="13"/>
      <c r="L72" s="13"/>
      <c r="M72" s="13"/>
      <c r="N72" s="13"/>
      <c r="O72" s="13"/>
      <c r="P72" s="13"/>
      <c r="Q72" s="13"/>
      <c r="R72" s="13"/>
      <c r="S72" s="13"/>
      <c r="T72" s="13"/>
      <c r="U72" s="13"/>
      <c r="V72" s="13"/>
      <c r="W72" s="13"/>
      <c r="X72" s="13"/>
      <c r="Y72" s="13"/>
      <c r="Z72" s="13"/>
    </row>
    <row r="73" ht="15.75" customHeight="1">
      <c r="A73" s="13"/>
      <c r="B73" s="112" t="s">
        <v>118</v>
      </c>
      <c r="C73" s="113">
        <f>'Assumptions (P3RTO)'!D141</f>
        <v>18304.90074</v>
      </c>
      <c r="D73" s="114">
        <f>C73/unit_three_rto</f>
        <v>494.7270471</v>
      </c>
      <c r="E73" s="115">
        <v>0.0</v>
      </c>
      <c r="F73" s="114">
        <f>E73/unit_three_rto</f>
        <v>0</v>
      </c>
      <c r="G73" s="115">
        <f t="shared" si="8"/>
        <v>18304.90074</v>
      </c>
      <c r="H73" s="58"/>
      <c r="I73" s="104"/>
      <c r="J73" s="13"/>
      <c r="K73" s="13"/>
      <c r="L73" s="13"/>
      <c r="M73" s="13"/>
      <c r="N73" s="13"/>
      <c r="O73" s="13"/>
      <c r="P73" s="13"/>
      <c r="Q73" s="13"/>
      <c r="R73" s="13"/>
      <c r="S73" s="13"/>
      <c r="T73" s="13"/>
      <c r="U73" s="13"/>
      <c r="V73" s="13"/>
      <c r="W73" s="13"/>
      <c r="X73" s="13"/>
      <c r="Y73" s="13"/>
      <c r="Z73" s="13"/>
    </row>
    <row r="74" ht="15.75" customHeight="1">
      <c r="A74" s="13"/>
      <c r="B74" s="112" t="str">
        <f>'Assumptions (P3RTO)'!C142</f>
        <v>Construction Period Inspection Fees</v>
      </c>
      <c r="C74" s="125">
        <f>'Assumptions (P3RTO)'!D142</f>
        <v>20000</v>
      </c>
      <c r="D74" s="114">
        <f>C74/unit_three_rto</f>
        <v>540.5405405</v>
      </c>
      <c r="E74" s="115">
        <v>0.0</v>
      </c>
      <c r="F74" s="114">
        <f>E74/unit_three_rto</f>
        <v>0</v>
      </c>
      <c r="G74" s="115">
        <f t="shared" si="8"/>
        <v>20000</v>
      </c>
      <c r="H74" s="13"/>
      <c r="I74" s="104"/>
      <c r="J74" s="95"/>
      <c r="K74" s="13"/>
      <c r="L74" s="13"/>
      <c r="M74" s="13"/>
      <c r="N74" s="13"/>
      <c r="O74" s="13"/>
      <c r="P74" s="13"/>
      <c r="Q74" s="13"/>
      <c r="R74" s="13"/>
      <c r="S74" s="13"/>
      <c r="T74" s="13"/>
      <c r="U74" s="13"/>
      <c r="V74" s="13"/>
      <c r="W74" s="13"/>
      <c r="X74" s="13"/>
      <c r="Y74" s="13"/>
      <c r="Z74" s="13"/>
    </row>
    <row r="75" ht="15.75" customHeight="1">
      <c r="A75" s="13"/>
      <c r="B75" s="112" t="str">
        <f>'Assumptions (P3RTO)'!C143</f>
        <v>Loan Documentation Fees</v>
      </c>
      <c r="C75" s="125">
        <f>'Assumptions (P3RTO)'!D143</f>
        <v>20000</v>
      </c>
      <c r="D75" s="114">
        <f>C75/unit_three_rto</f>
        <v>540.5405405</v>
      </c>
      <c r="E75" s="115">
        <v>0.0</v>
      </c>
      <c r="F75" s="114">
        <f>E75/unit_three_rto</f>
        <v>0</v>
      </c>
      <c r="G75" s="115">
        <f t="shared" si="8"/>
        <v>20000</v>
      </c>
      <c r="H75" s="13"/>
      <c r="I75" s="104"/>
      <c r="J75" s="95"/>
      <c r="K75" s="13"/>
      <c r="L75" s="13"/>
      <c r="M75" s="13"/>
      <c r="N75" s="13"/>
      <c r="O75" s="13"/>
      <c r="P75" s="13"/>
      <c r="Q75" s="13"/>
      <c r="R75" s="13"/>
      <c r="S75" s="13"/>
      <c r="T75" s="13"/>
      <c r="U75" s="13"/>
      <c r="V75" s="13"/>
      <c r="W75" s="13"/>
      <c r="X75" s="13"/>
      <c r="Y75" s="13"/>
      <c r="Z75" s="13"/>
    </row>
    <row r="76" ht="15.75" customHeight="1">
      <c r="A76" s="13"/>
      <c r="B76" s="112" t="str">
        <f>'Assumptions (P3RTO)'!C144</f>
        <v>Cons. Loan Application Fee</v>
      </c>
      <c r="C76" s="125">
        <f>'Assumptions (P3RTO)'!D144</f>
        <v>500</v>
      </c>
      <c r="D76" s="114">
        <f>C76/unit_three_rto</f>
        <v>13.51351351</v>
      </c>
      <c r="E76" s="126">
        <v>0.0</v>
      </c>
      <c r="F76" s="114">
        <f>E76/unit_three_rto</f>
        <v>0</v>
      </c>
      <c r="G76" s="115">
        <f t="shared" si="8"/>
        <v>500</v>
      </c>
      <c r="H76" s="13"/>
      <c r="I76" s="104"/>
      <c r="J76" s="95"/>
      <c r="K76" s="13"/>
      <c r="L76" s="13"/>
      <c r="M76" s="13"/>
      <c r="N76" s="13"/>
      <c r="O76" s="13"/>
      <c r="P76" s="13"/>
      <c r="Q76" s="13"/>
      <c r="R76" s="13"/>
      <c r="S76" s="13"/>
      <c r="T76" s="13"/>
      <c r="U76" s="13"/>
      <c r="V76" s="13"/>
      <c r="W76" s="13"/>
      <c r="X76" s="13"/>
      <c r="Y76" s="13"/>
      <c r="Z76" s="13"/>
    </row>
    <row r="77" ht="15.75" customHeight="1">
      <c r="A77" s="13"/>
      <c r="B77" s="112" t="str">
        <f>'Assumptions (P3RTO)'!C145</f>
        <v>Impact Fees</v>
      </c>
      <c r="C77" s="125">
        <f>'Assumptions (P3RTO)'!D145</f>
        <v>42507.08275</v>
      </c>
      <c r="D77" s="114">
        <f>C77/unit_three_rto</f>
        <v>1148.840074</v>
      </c>
      <c r="E77" s="126">
        <v>0.0</v>
      </c>
      <c r="F77" s="114">
        <f>E77/unit_three_rto</f>
        <v>0</v>
      </c>
      <c r="G77" s="115">
        <f t="shared" si="8"/>
        <v>42507.08275</v>
      </c>
      <c r="H77" s="13"/>
      <c r="I77" s="104"/>
      <c r="J77" s="95"/>
      <c r="K77" s="13"/>
      <c r="L77" s="13"/>
      <c r="M77" s="13"/>
      <c r="N77" s="13"/>
      <c r="O77" s="13"/>
      <c r="P77" s="13"/>
      <c r="Q77" s="13"/>
      <c r="R77" s="13"/>
      <c r="S77" s="13"/>
      <c r="T77" s="13"/>
      <c r="U77" s="13"/>
      <c r="V77" s="13"/>
      <c r="W77" s="13"/>
      <c r="X77" s="13"/>
      <c r="Y77" s="13"/>
      <c r="Z77" s="13"/>
    </row>
    <row r="78" ht="15.75" customHeight="1">
      <c r="A78" s="13"/>
      <c r="B78" s="117" t="s">
        <v>95</v>
      </c>
      <c r="C78" s="118">
        <f>SUM(C68:C77)</f>
        <v>854578.2584</v>
      </c>
      <c r="D78" s="118">
        <f>C78/unit_three_rto</f>
        <v>23096.70969</v>
      </c>
      <c r="E78" s="118">
        <f>SUM(E68:E77)</f>
        <v>0</v>
      </c>
      <c r="F78" s="118">
        <f>E78/unit_three_rto</f>
        <v>0</v>
      </c>
      <c r="G78" s="118">
        <f>SUM(G68:G77)</f>
        <v>854578.2584</v>
      </c>
      <c r="H78" s="13"/>
      <c r="I78" s="13"/>
      <c r="J78" s="13"/>
      <c r="K78" s="13"/>
      <c r="L78" s="13"/>
      <c r="M78" s="13"/>
      <c r="N78" s="13"/>
      <c r="O78" s="13"/>
      <c r="P78" s="13"/>
      <c r="Q78" s="13"/>
      <c r="R78" s="13"/>
      <c r="S78" s="13"/>
      <c r="T78" s="13"/>
      <c r="U78" s="13"/>
      <c r="V78" s="13"/>
      <c r="W78" s="13"/>
      <c r="X78" s="13"/>
      <c r="Y78" s="13"/>
      <c r="Z78" s="13"/>
    </row>
    <row r="79" ht="15.75" customHeight="1">
      <c r="A79" s="13"/>
      <c r="B79" s="120" t="s">
        <v>119</v>
      </c>
      <c r="C79" s="121"/>
      <c r="D79" s="137"/>
      <c r="E79" s="122"/>
      <c r="F79" s="137"/>
      <c r="G79" s="122"/>
      <c r="H79" s="13"/>
      <c r="I79" s="13"/>
      <c r="J79" s="13"/>
      <c r="K79" s="13"/>
      <c r="L79" s="13"/>
      <c r="M79" s="13"/>
      <c r="N79" s="13"/>
      <c r="O79" s="13"/>
      <c r="P79" s="13"/>
      <c r="Q79" s="13"/>
      <c r="R79" s="13"/>
      <c r="S79" s="13"/>
      <c r="T79" s="13"/>
      <c r="U79" s="13"/>
      <c r="V79" s="13"/>
      <c r="W79" s="13"/>
      <c r="X79" s="13"/>
      <c r="Y79" s="13"/>
      <c r="Z79" s="13"/>
    </row>
    <row r="80" ht="15.75" customHeight="1">
      <c r="A80" s="13"/>
      <c r="B80" s="112" t="s">
        <v>544</v>
      </c>
      <c r="C80" s="113">
        <f>'Loan Sizing (P3RTO)'!D14*'Assumptions (P3RTO)'!D148</f>
        <v>37731.89648</v>
      </c>
      <c r="D80" s="114">
        <f>C80/unit_three_rto</f>
        <v>1019.780986</v>
      </c>
      <c r="E80" s="115">
        <v>0.0</v>
      </c>
      <c r="F80" s="114">
        <f>E80/unit_three_rto</f>
        <v>0</v>
      </c>
      <c r="G80" s="115">
        <v>0.0</v>
      </c>
      <c r="H80" s="13"/>
      <c r="I80" s="104"/>
      <c r="J80" s="13"/>
      <c r="K80" s="13"/>
      <c r="L80" s="13"/>
      <c r="M80" s="13"/>
      <c r="N80" s="13"/>
      <c r="O80" s="13"/>
      <c r="P80" s="13"/>
      <c r="Q80" s="13"/>
      <c r="R80" s="13"/>
      <c r="S80" s="13"/>
      <c r="T80" s="13"/>
      <c r="U80" s="13"/>
      <c r="V80" s="13"/>
      <c r="W80" s="13"/>
      <c r="X80" s="13"/>
      <c r="Y80" s="13"/>
      <c r="Z80" s="13"/>
    </row>
    <row r="81" ht="15.75" customHeight="1">
      <c r="A81" s="13"/>
      <c r="B81" s="112" t="s">
        <v>120</v>
      </c>
      <c r="C81" s="113">
        <f>'Assumptions (P3RTO)'!D149</f>
        <v>2035</v>
      </c>
      <c r="D81" s="114">
        <f>C81/unit_three_rto</f>
        <v>55</v>
      </c>
      <c r="E81" s="115">
        <v>0.0</v>
      </c>
      <c r="F81" s="114">
        <f>E81/unit_three_rto</f>
        <v>0</v>
      </c>
      <c r="G81" s="115">
        <v>0.0</v>
      </c>
      <c r="H81" s="58"/>
      <c r="I81" s="104"/>
      <c r="J81" s="13"/>
      <c r="K81" s="13"/>
      <c r="L81" s="13"/>
      <c r="M81" s="13"/>
      <c r="N81" s="13"/>
      <c r="O81" s="13"/>
      <c r="P81" s="13"/>
      <c r="Q81" s="13"/>
      <c r="R81" s="13"/>
      <c r="S81" s="13"/>
      <c r="T81" s="13"/>
      <c r="U81" s="13"/>
      <c r="V81" s="13"/>
      <c r="W81" s="13"/>
      <c r="X81" s="13"/>
      <c r="Y81" s="13"/>
      <c r="Z81" s="13"/>
    </row>
    <row r="82" ht="15.75" customHeight="1">
      <c r="A82" s="13"/>
      <c r="B82" s="112" t="s">
        <v>121</v>
      </c>
      <c r="C82" s="113">
        <f>'Assumptions (P3RTO)'!D150*1727563+'Assumptions (P3RTO)'!D151*600000</f>
        <v>101378.15</v>
      </c>
      <c r="D82" s="114">
        <f>C82/unit_three_rto</f>
        <v>2739.95</v>
      </c>
      <c r="E82" s="115">
        <v>0.0</v>
      </c>
      <c r="F82" s="114">
        <f>E82/unit_three_rto</f>
        <v>0</v>
      </c>
      <c r="G82" s="115">
        <v>0.0</v>
      </c>
      <c r="H82" s="13"/>
      <c r="I82" s="104"/>
      <c r="J82" s="13"/>
      <c r="K82" s="13"/>
      <c r="L82" s="13"/>
      <c r="M82" s="13"/>
      <c r="N82" s="13"/>
      <c r="O82" s="13"/>
      <c r="P82" s="13"/>
      <c r="Q82" s="13"/>
      <c r="R82" s="13"/>
      <c r="S82" s="13"/>
      <c r="T82" s="13"/>
      <c r="U82" s="13"/>
      <c r="V82" s="13"/>
      <c r="W82" s="13"/>
      <c r="X82" s="13"/>
      <c r="Y82" s="13"/>
      <c r="Z82" s="13"/>
    </row>
    <row r="83" ht="15.75" customHeight="1">
      <c r="A83" s="13"/>
      <c r="B83" s="112" t="s">
        <v>122</v>
      </c>
      <c r="C83" s="113">
        <f>'Assumptions (P3RTO)'!D152</f>
        <v>2500</v>
      </c>
      <c r="D83" s="114">
        <f>C83/unit_three_rto</f>
        <v>67.56756757</v>
      </c>
      <c r="E83" s="115">
        <v>0.0</v>
      </c>
      <c r="F83" s="114">
        <f>E83/unit_three_rto</f>
        <v>0</v>
      </c>
      <c r="G83" s="115">
        <v>0.0</v>
      </c>
      <c r="H83" s="13"/>
      <c r="I83" s="104"/>
      <c r="J83" s="13"/>
      <c r="K83" s="13"/>
      <c r="L83" s="13"/>
      <c r="M83" s="13"/>
      <c r="N83" s="13"/>
      <c r="O83" s="13"/>
      <c r="P83" s="13"/>
      <c r="Q83" s="13"/>
      <c r="R83" s="13"/>
      <c r="S83" s="13"/>
      <c r="T83" s="13"/>
      <c r="U83" s="13"/>
      <c r="V83" s="13"/>
      <c r="W83" s="13"/>
      <c r="X83" s="13"/>
      <c r="Y83" s="13"/>
      <c r="Z83" s="13"/>
    </row>
    <row r="84" ht="15.75" customHeight="1">
      <c r="A84" s="13"/>
      <c r="B84" s="112" t="s">
        <v>516</v>
      </c>
      <c r="C84" s="113">
        <f>'Assumptions (P3RTO)'!D153</f>
        <v>50000</v>
      </c>
      <c r="D84" s="114">
        <f>C84/unit_three_rto</f>
        <v>1351.351351</v>
      </c>
      <c r="E84" s="115">
        <v>0.0</v>
      </c>
      <c r="F84" s="114">
        <f>E84/unit_three_rto</f>
        <v>0</v>
      </c>
      <c r="G84" s="115">
        <v>0.0</v>
      </c>
      <c r="H84" s="13"/>
      <c r="I84" s="104"/>
      <c r="J84" s="13"/>
      <c r="K84" s="13"/>
      <c r="L84" s="13"/>
      <c r="M84" s="13"/>
      <c r="N84" s="13"/>
      <c r="O84" s="13"/>
      <c r="P84" s="13"/>
      <c r="Q84" s="13"/>
      <c r="R84" s="13"/>
      <c r="S84" s="13"/>
      <c r="T84" s="13"/>
      <c r="U84" s="13"/>
      <c r="V84" s="13"/>
      <c r="W84" s="13"/>
      <c r="X84" s="13"/>
      <c r="Y84" s="13"/>
      <c r="Z84" s="13"/>
    </row>
    <row r="85" ht="15.75" customHeight="1">
      <c r="A85" s="13"/>
      <c r="B85" s="112" t="s">
        <v>125</v>
      </c>
      <c r="C85" s="113">
        <f>'Assumptions (P3RTO)'!D154</f>
        <v>32500</v>
      </c>
      <c r="D85" s="114">
        <f>C85/unit_three_rto</f>
        <v>878.3783784</v>
      </c>
      <c r="E85" s="115">
        <v>0.0</v>
      </c>
      <c r="F85" s="114">
        <f>E85/unit_three_rto</f>
        <v>0</v>
      </c>
      <c r="G85" s="115">
        <v>0.0</v>
      </c>
      <c r="H85" s="13"/>
      <c r="I85" s="104"/>
      <c r="J85" s="13"/>
      <c r="K85" s="13"/>
      <c r="L85" s="13"/>
      <c r="M85" s="13"/>
      <c r="N85" s="13"/>
      <c r="O85" s="13"/>
      <c r="P85" s="13"/>
      <c r="Q85" s="13"/>
      <c r="R85" s="13"/>
      <c r="S85" s="13"/>
      <c r="T85" s="13"/>
      <c r="U85" s="13"/>
      <c r="V85" s="13"/>
      <c r="W85" s="13"/>
      <c r="X85" s="13"/>
      <c r="Y85" s="13"/>
      <c r="Z85" s="13"/>
    </row>
    <row r="86" ht="15.75" customHeight="1">
      <c r="A86" s="13"/>
      <c r="B86" s="112" t="s">
        <v>126</v>
      </c>
      <c r="C86" s="113">
        <f>'Assumptions (P3RTO)'!D155</f>
        <v>10000</v>
      </c>
      <c r="D86" s="114">
        <f>C86/unit_three_rto</f>
        <v>270.2702703</v>
      </c>
      <c r="E86" s="115">
        <v>0.0</v>
      </c>
      <c r="F86" s="114">
        <f>E86/unit_three_rto</f>
        <v>0</v>
      </c>
      <c r="G86" s="115">
        <v>0.0</v>
      </c>
      <c r="H86" s="13"/>
      <c r="I86" s="104"/>
      <c r="J86" s="13"/>
      <c r="K86" s="13"/>
      <c r="L86" s="13"/>
      <c r="M86" s="13"/>
      <c r="N86" s="13"/>
      <c r="O86" s="13"/>
      <c r="P86" s="13"/>
      <c r="Q86" s="13"/>
      <c r="R86" s="13"/>
      <c r="S86" s="13"/>
      <c r="T86" s="13"/>
      <c r="U86" s="13"/>
      <c r="V86" s="13"/>
      <c r="W86" s="13"/>
      <c r="X86" s="13"/>
      <c r="Y86" s="13"/>
      <c r="Z86" s="13"/>
    </row>
    <row r="87" ht="15.75" customHeight="1">
      <c r="A87" s="13"/>
      <c r="B87" s="112" t="s">
        <v>127</v>
      </c>
      <c r="C87" s="113">
        <f>'Assumptions (P3RTO)'!D156</f>
        <v>20000</v>
      </c>
      <c r="D87" s="114">
        <f>C87/unit_three_rto</f>
        <v>540.5405405</v>
      </c>
      <c r="E87" s="115">
        <v>0.0</v>
      </c>
      <c r="F87" s="114">
        <f>E87/unit_three_rto</f>
        <v>0</v>
      </c>
      <c r="G87" s="115">
        <v>0.0</v>
      </c>
      <c r="H87" s="13"/>
      <c r="I87" s="104"/>
      <c r="J87" s="13"/>
      <c r="K87" s="13"/>
      <c r="L87" s="13"/>
      <c r="M87" s="13"/>
      <c r="N87" s="13"/>
      <c r="O87" s="13"/>
      <c r="P87" s="13"/>
      <c r="Q87" s="13"/>
      <c r="R87" s="13"/>
      <c r="S87" s="13"/>
      <c r="T87" s="13"/>
      <c r="U87" s="13"/>
      <c r="V87" s="13"/>
      <c r="W87" s="13"/>
      <c r="X87" s="13"/>
      <c r="Y87" s="13"/>
      <c r="Z87" s="13"/>
    </row>
    <row r="88" ht="15.75" customHeight="1">
      <c r="A88" s="13"/>
      <c r="B88" s="112" t="s">
        <v>128</v>
      </c>
      <c r="C88" s="113">
        <f>'Assumptions (P3RTO)'!D157*'Sources &amp; Uses (P3RTO)'!C104</f>
        <v>11206.875</v>
      </c>
      <c r="D88" s="114">
        <f>C88/unit_three_rto</f>
        <v>302.8885135</v>
      </c>
      <c r="E88" s="115">
        <v>0.0</v>
      </c>
      <c r="F88" s="114">
        <f>E88/unit_three_rto</f>
        <v>0</v>
      </c>
      <c r="G88" s="115">
        <v>0.0</v>
      </c>
      <c r="H88" s="13"/>
      <c r="I88" s="104"/>
      <c r="J88" s="13"/>
      <c r="K88" s="13"/>
      <c r="L88" s="13"/>
      <c r="M88" s="13"/>
      <c r="N88" s="13"/>
      <c r="O88" s="13"/>
      <c r="P88" s="13"/>
      <c r="Q88" s="13"/>
      <c r="R88" s="13"/>
      <c r="S88" s="13"/>
      <c r="T88" s="13"/>
      <c r="U88" s="13"/>
      <c r="V88" s="13"/>
      <c r="W88" s="13"/>
      <c r="X88" s="13"/>
      <c r="Y88" s="13"/>
      <c r="Z88" s="13"/>
    </row>
    <row r="89" ht="15.75" customHeight="1">
      <c r="A89" s="13"/>
      <c r="B89" s="112" t="str">
        <f>'Assumptions (P3RTO)'!C158</f>
        <v>Permanent Loan Documentation Fees</v>
      </c>
      <c r="C89" s="113">
        <f>'Assumptions (P3RTO)'!D158</f>
        <v>20000</v>
      </c>
      <c r="D89" s="114">
        <f>C89/unit_three_rto</f>
        <v>540.5405405</v>
      </c>
      <c r="E89" s="115">
        <v>0.0</v>
      </c>
      <c r="F89" s="114">
        <f>E89/unit_three_rto</f>
        <v>0</v>
      </c>
      <c r="G89" s="115">
        <v>0.0</v>
      </c>
      <c r="H89" s="13"/>
      <c r="I89" s="104"/>
      <c r="J89" s="95"/>
      <c r="K89" s="13"/>
      <c r="L89" s="13"/>
      <c r="M89" s="13"/>
      <c r="N89" s="13"/>
      <c r="O89" s="13"/>
      <c r="P89" s="13"/>
      <c r="Q89" s="13"/>
      <c r="R89" s="13"/>
      <c r="S89" s="13"/>
      <c r="T89" s="13"/>
      <c r="U89" s="13"/>
      <c r="V89" s="13"/>
      <c r="W89" s="13"/>
      <c r="X89" s="13"/>
      <c r="Y89" s="13"/>
      <c r="Z89" s="13"/>
    </row>
    <row r="90" ht="15.75" customHeight="1">
      <c r="A90" s="13"/>
      <c r="B90" s="112" t="str">
        <f>'Assumptions (P3RTO)'!C159</f>
        <v>Permanent Loan Application Fee</v>
      </c>
      <c r="C90" s="113">
        <f>'Assumptions (P3RTO)'!D159</f>
        <v>500</v>
      </c>
      <c r="D90" s="114">
        <f>C90/unit_three_rto</f>
        <v>13.51351351</v>
      </c>
      <c r="E90" s="115">
        <v>0.0</v>
      </c>
      <c r="F90" s="114">
        <f>E90/unit_three_rto</f>
        <v>0</v>
      </c>
      <c r="G90" s="115">
        <v>0.0</v>
      </c>
      <c r="H90" s="13"/>
      <c r="I90" s="104"/>
      <c r="J90" s="95"/>
      <c r="K90" s="13"/>
      <c r="L90" s="13"/>
      <c r="M90" s="13"/>
      <c r="N90" s="13"/>
      <c r="O90" s="13"/>
      <c r="P90" s="13"/>
      <c r="Q90" s="13"/>
      <c r="R90" s="13"/>
      <c r="S90" s="13"/>
      <c r="T90" s="13"/>
      <c r="U90" s="13"/>
      <c r="V90" s="13"/>
      <c r="W90" s="13"/>
      <c r="X90" s="13"/>
      <c r="Y90" s="13"/>
      <c r="Z90" s="13"/>
    </row>
    <row r="91" ht="15.75" customHeight="1">
      <c r="A91" s="13"/>
      <c r="B91" s="112" t="str">
        <f>'Assumptions (P3RTO)'!C160</f>
        <v>8609 Issuance</v>
      </c>
      <c r="C91" s="113">
        <f>'Assumptions (P3RTO)'!D160</f>
        <v>600</v>
      </c>
      <c r="D91" s="114">
        <f>C91/unit_three_rto</f>
        <v>16.21621622</v>
      </c>
      <c r="E91" s="126">
        <v>0.0</v>
      </c>
      <c r="F91" s="114">
        <f>E91/unit_three_rto</f>
        <v>0</v>
      </c>
      <c r="G91" s="115">
        <v>0.0</v>
      </c>
      <c r="H91" s="13"/>
      <c r="I91" s="104"/>
      <c r="J91" s="95"/>
      <c r="K91" s="13"/>
      <c r="L91" s="13"/>
      <c r="M91" s="13"/>
      <c r="N91" s="13"/>
      <c r="O91" s="13"/>
      <c r="P91" s="13"/>
      <c r="Q91" s="13"/>
      <c r="R91" s="13"/>
      <c r="S91" s="13"/>
      <c r="T91" s="13"/>
      <c r="U91" s="13"/>
      <c r="V91" s="13"/>
      <c r="W91" s="13"/>
      <c r="X91" s="13"/>
      <c r="Y91" s="13"/>
      <c r="Z91" s="13"/>
    </row>
    <row r="92" ht="15.75" customHeight="1">
      <c r="A92" s="13"/>
      <c r="B92" s="117" t="s">
        <v>95</v>
      </c>
      <c r="C92" s="118">
        <f>SUM(C80:C91)</f>
        <v>288451.9215</v>
      </c>
      <c r="D92" s="118">
        <f>C92/unit_three_rto</f>
        <v>7795.997878</v>
      </c>
      <c r="E92" s="118">
        <f>SUM(E80:E91)</f>
        <v>0</v>
      </c>
      <c r="F92" s="118">
        <f>E92/unit_three_rto</f>
        <v>0</v>
      </c>
      <c r="G92" s="118">
        <f>SUM(G80:G91)</f>
        <v>0</v>
      </c>
      <c r="H92" s="13"/>
      <c r="I92" s="13"/>
      <c r="J92" s="13"/>
      <c r="K92" s="13"/>
      <c r="L92" s="13"/>
      <c r="M92" s="13"/>
      <c r="N92" s="13"/>
      <c r="O92" s="13"/>
      <c r="P92" s="13"/>
      <c r="Q92" s="13"/>
      <c r="R92" s="13"/>
      <c r="S92" s="13"/>
      <c r="T92" s="13"/>
      <c r="U92" s="13"/>
      <c r="V92" s="13"/>
      <c r="W92" s="13"/>
      <c r="X92" s="13"/>
      <c r="Y92" s="13"/>
      <c r="Z92" s="13"/>
    </row>
    <row r="93" ht="15.75" customHeight="1">
      <c r="A93" s="13"/>
      <c r="B93" s="120" t="s">
        <v>129</v>
      </c>
      <c r="C93" s="121"/>
      <c r="D93" s="137"/>
      <c r="E93" s="122"/>
      <c r="F93" s="137"/>
      <c r="G93" s="122"/>
      <c r="H93" s="13"/>
      <c r="I93" s="13"/>
      <c r="J93" s="13"/>
      <c r="K93" s="13"/>
      <c r="L93" s="13"/>
      <c r="M93" s="13"/>
      <c r="N93" s="13"/>
      <c r="O93" s="13"/>
      <c r="P93" s="13"/>
      <c r="Q93" s="13"/>
      <c r="R93" s="13"/>
      <c r="S93" s="13"/>
      <c r="T93" s="13"/>
      <c r="U93" s="13"/>
      <c r="V93" s="13"/>
      <c r="W93" s="13"/>
      <c r="X93" s="13"/>
      <c r="Y93" s="13"/>
      <c r="Z93" s="13"/>
    </row>
    <row r="94" ht="15.75" customHeight="1">
      <c r="A94" s="13"/>
      <c r="B94" s="112" t="s">
        <v>130</v>
      </c>
      <c r="C94" s="113">
        <f>'Assumptions (P3RTO)'!D163</f>
        <v>8750</v>
      </c>
      <c r="D94" s="114">
        <f>C94/unit_three_rto</f>
        <v>236.4864865</v>
      </c>
      <c r="E94" s="115">
        <v>0.0</v>
      </c>
      <c r="F94" s="114">
        <f>E94/unit_three_rto</f>
        <v>0</v>
      </c>
      <c r="G94" s="115">
        <f t="shared" ref="G94:G103" si="9">C94</f>
        <v>8750</v>
      </c>
      <c r="H94" s="13"/>
      <c r="I94" s="104"/>
      <c r="J94" s="13"/>
      <c r="K94" s="13"/>
      <c r="L94" s="13"/>
      <c r="M94" s="13"/>
      <c r="N94" s="13"/>
      <c r="O94" s="13"/>
      <c r="P94" s="13"/>
      <c r="Q94" s="13"/>
      <c r="R94" s="13"/>
      <c r="S94" s="13"/>
      <c r="T94" s="13"/>
      <c r="U94" s="13"/>
      <c r="V94" s="13"/>
      <c r="W94" s="13"/>
      <c r="X94" s="13"/>
      <c r="Y94" s="13"/>
      <c r="Z94" s="13"/>
    </row>
    <row r="95" ht="15.75" customHeight="1">
      <c r="A95" s="13"/>
      <c r="B95" s="112" t="s">
        <v>131</v>
      </c>
      <c r="C95" s="113">
        <f>'Assumptions (P3RTO)'!D164</f>
        <v>7250</v>
      </c>
      <c r="D95" s="114">
        <f>C95/unit_three_rto</f>
        <v>195.9459459</v>
      </c>
      <c r="E95" s="115">
        <v>0.0</v>
      </c>
      <c r="F95" s="114">
        <f>E95/unit_three_rto</f>
        <v>0</v>
      </c>
      <c r="G95" s="115">
        <f t="shared" si="9"/>
        <v>7250</v>
      </c>
      <c r="H95" s="13"/>
      <c r="I95" s="104"/>
      <c r="J95" s="13"/>
      <c r="K95" s="13"/>
      <c r="L95" s="13"/>
      <c r="M95" s="13"/>
      <c r="N95" s="13"/>
      <c r="O95" s="13"/>
      <c r="P95" s="13"/>
      <c r="Q95" s="13"/>
      <c r="R95" s="13"/>
      <c r="S95" s="13"/>
      <c r="T95" s="13"/>
      <c r="U95" s="13"/>
      <c r="V95" s="13"/>
      <c r="W95" s="13"/>
      <c r="X95" s="13"/>
      <c r="Y95" s="13"/>
      <c r="Z95" s="13"/>
    </row>
    <row r="96" ht="15.75" customHeight="1">
      <c r="A96" s="13"/>
      <c r="B96" s="112" t="s">
        <v>132</v>
      </c>
      <c r="C96" s="113">
        <f>'Assumptions (P3RTO)'!D165</f>
        <v>12500</v>
      </c>
      <c r="D96" s="114">
        <f>C96/unit_three_rto</f>
        <v>337.8378378</v>
      </c>
      <c r="E96" s="115">
        <v>0.0</v>
      </c>
      <c r="F96" s="114">
        <f>E96/unit_three_rto</f>
        <v>0</v>
      </c>
      <c r="G96" s="115">
        <f t="shared" si="9"/>
        <v>12500</v>
      </c>
      <c r="H96" s="13"/>
      <c r="I96" s="104"/>
      <c r="J96" s="13"/>
      <c r="K96" s="13"/>
      <c r="L96" s="13"/>
      <c r="M96" s="13"/>
      <c r="N96" s="13"/>
      <c r="O96" s="13"/>
      <c r="P96" s="13"/>
      <c r="Q96" s="13"/>
      <c r="R96" s="13"/>
      <c r="S96" s="13"/>
      <c r="T96" s="13"/>
      <c r="U96" s="13"/>
      <c r="V96" s="13"/>
      <c r="W96" s="13"/>
      <c r="X96" s="13"/>
      <c r="Y96" s="13"/>
      <c r="Z96" s="13"/>
    </row>
    <row r="97" ht="15.75" customHeight="1">
      <c r="A97" s="13"/>
      <c r="B97" s="112" t="s">
        <v>133</v>
      </c>
      <c r="C97" s="113">
        <f>'Assumptions (P3RTO)'!D166</f>
        <v>10700</v>
      </c>
      <c r="D97" s="114">
        <f>C97/unit_three_rto</f>
        <v>289.1891892</v>
      </c>
      <c r="E97" s="115">
        <v>0.0</v>
      </c>
      <c r="F97" s="114">
        <f>E97/unit_three_rto</f>
        <v>0</v>
      </c>
      <c r="G97" s="115">
        <f t="shared" si="9"/>
        <v>10700</v>
      </c>
      <c r="H97" s="13"/>
      <c r="I97" s="104"/>
      <c r="J97" s="13"/>
      <c r="K97" s="13"/>
      <c r="L97" s="13"/>
      <c r="M97" s="13"/>
      <c r="N97" s="13"/>
      <c r="O97" s="13"/>
      <c r="P97" s="13"/>
      <c r="Q97" s="13"/>
      <c r="R97" s="13"/>
      <c r="S97" s="13"/>
      <c r="T97" s="13"/>
      <c r="U97" s="13"/>
      <c r="V97" s="13"/>
      <c r="W97" s="13"/>
      <c r="X97" s="13"/>
      <c r="Y97" s="13"/>
      <c r="Z97" s="13"/>
    </row>
    <row r="98" ht="15.75" customHeight="1">
      <c r="A98" s="13"/>
      <c r="B98" s="112" t="s">
        <v>134</v>
      </c>
      <c r="C98" s="113">
        <f>'Assumptions (P3RTO)'!D167*unit_three_rto</f>
        <v>0</v>
      </c>
      <c r="D98" s="114">
        <f>C98/unit_three_rto</f>
        <v>0</v>
      </c>
      <c r="E98" s="115">
        <v>0.0</v>
      </c>
      <c r="F98" s="114">
        <f>E98/unit_three_rto</f>
        <v>0</v>
      </c>
      <c r="G98" s="115">
        <f t="shared" si="9"/>
        <v>0</v>
      </c>
      <c r="H98" s="13"/>
      <c r="I98" s="104"/>
      <c r="J98" s="13"/>
      <c r="K98" s="13"/>
      <c r="L98" s="13"/>
      <c r="M98" s="13"/>
      <c r="N98" s="13"/>
      <c r="O98" s="13"/>
      <c r="P98" s="13"/>
      <c r="Q98" s="13"/>
      <c r="R98" s="13"/>
      <c r="S98" s="13"/>
      <c r="T98" s="13"/>
      <c r="U98" s="13"/>
      <c r="V98" s="13"/>
      <c r="W98" s="13"/>
      <c r="X98" s="13"/>
      <c r="Y98" s="13"/>
      <c r="Z98" s="13"/>
    </row>
    <row r="99" ht="15.75" customHeight="1">
      <c r="A99" s="13"/>
      <c r="B99" s="112" t="s">
        <v>135</v>
      </c>
      <c r="C99" s="113">
        <f>'Assumptions (P3RTO)'!D168</f>
        <v>97500</v>
      </c>
      <c r="D99" s="114">
        <f>C99/unit_three_rto</f>
        <v>2635.135135</v>
      </c>
      <c r="E99" s="115">
        <v>0.0</v>
      </c>
      <c r="F99" s="114">
        <f>E99/unit_three_rto</f>
        <v>0</v>
      </c>
      <c r="G99" s="115">
        <f t="shared" si="9"/>
        <v>97500</v>
      </c>
      <c r="H99" s="13"/>
      <c r="I99" s="104"/>
      <c r="J99" s="13"/>
      <c r="K99" s="13"/>
      <c r="L99" s="13"/>
      <c r="M99" s="13"/>
      <c r="N99" s="13"/>
      <c r="O99" s="13"/>
      <c r="P99" s="13"/>
      <c r="Q99" s="13"/>
      <c r="R99" s="13"/>
      <c r="S99" s="13"/>
      <c r="T99" s="13"/>
      <c r="U99" s="13"/>
      <c r="V99" s="13"/>
      <c r="W99" s="13"/>
      <c r="X99" s="13"/>
      <c r="Y99" s="13"/>
      <c r="Z99" s="13"/>
    </row>
    <row r="100" ht="15.75" customHeight="1">
      <c r="A100" s="13"/>
      <c r="B100" s="112" t="s">
        <v>136</v>
      </c>
      <c r="C100" s="113">
        <f>'Assumptions (P3RTO)'!D169</f>
        <v>37437.5</v>
      </c>
      <c r="D100" s="114">
        <f>C100/unit_three_rto</f>
        <v>1011.824324</v>
      </c>
      <c r="E100" s="115">
        <v>0.0</v>
      </c>
      <c r="F100" s="114">
        <f>E100/unit_three_rto</f>
        <v>0</v>
      </c>
      <c r="G100" s="115">
        <f t="shared" si="9"/>
        <v>37437.5</v>
      </c>
      <c r="H100" s="13"/>
      <c r="I100" s="104"/>
      <c r="J100" s="13"/>
      <c r="K100" s="13"/>
      <c r="L100" s="13"/>
      <c r="M100" s="13"/>
      <c r="N100" s="13"/>
      <c r="O100" s="13"/>
      <c r="P100" s="13"/>
      <c r="Q100" s="13"/>
      <c r="R100" s="13"/>
      <c r="S100" s="13"/>
      <c r="T100" s="13"/>
      <c r="U100" s="13"/>
      <c r="V100" s="13"/>
      <c r="W100" s="13"/>
      <c r="X100" s="13"/>
      <c r="Y100" s="13"/>
      <c r="Z100" s="13"/>
    </row>
    <row r="101" ht="15.75" customHeight="1">
      <c r="A101" s="13"/>
      <c r="B101" s="112" t="str">
        <f>'Assumptions (P3RTO)'!C171</f>
        <v>Other: Sustainability Consultant Fee</v>
      </c>
      <c r="C101" s="113">
        <f>'Assumptions (P3RTO)'!D171</f>
        <v>20000</v>
      </c>
      <c r="D101" s="114">
        <f>C101/unit_three_rto</f>
        <v>540.5405405</v>
      </c>
      <c r="E101" s="115">
        <v>0.0</v>
      </c>
      <c r="F101" s="114">
        <f>E101/unit_three_rto</f>
        <v>0</v>
      </c>
      <c r="G101" s="115">
        <f t="shared" si="9"/>
        <v>20000</v>
      </c>
      <c r="H101" s="13"/>
      <c r="I101" s="104"/>
      <c r="J101" s="95"/>
      <c r="K101" s="13"/>
      <c r="L101" s="13"/>
      <c r="M101" s="13"/>
      <c r="N101" s="13"/>
      <c r="O101" s="13"/>
      <c r="P101" s="13"/>
      <c r="Q101" s="13"/>
      <c r="R101" s="13"/>
      <c r="S101" s="13"/>
      <c r="T101" s="13"/>
      <c r="U101" s="13"/>
      <c r="V101" s="13"/>
      <c r="W101" s="13"/>
      <c r="X101" s="13"/>
      <c r="Y101" s="13"/>
      <c r="Z101" s="13"/>
    </row>
    <row r="102" ht="15.75" customHeight="1">
      <c r="A102" s="13"/>
      <c r="B102" s="112" t="str">
        <f>'Assumptions (P3RTO)'!C172</f>
        <v>Other: Green Certification (LEED)</v>
      </c>
      <c r="C102" s="113">
        <f>'Assumptions (P3RTO)'!D172</f>
        <v>15000</v>
      </c>
      <c r="D102" s="114">
        <f>C102/unit_three_rto</f>
        <v>405.4054054</v>
      </c>
      <c r="E102" s="115">
        <v>0.0</v>
      </c>
      <c r="F102" s="114">
        <f>E102/unit_three_rto</f>
        <v>0</v>
      </c>
      <c r="G102" s="115">
        <f t="shared" si="9"/>
        <v>15000</v>
      </c>
      <c r="H102" s="13"/>
      <c r="I102" s="104"/>
      <c r="J102" s="95"/>
      <c r="K102" s="13"/>
      <c r="L102" s="13"/>
      <c r="M102" s="13"/>
      <c r="N102" s="13"/>
      <c r="O102" s="13"/>
      <c r="P102" s="13"/>
      <c r="Q102" s="13"/>
      <c r="R102" s="13"/>
      <c r="S102" s="13"/>
      <c r="T102" s="13"/>
      <c r="U102" s="13"/>
      <c r="V102" s="13"/>
      <c r="W102" s="13"/>
      <c r="X102" s="13"/>
      <c r="Y102" s="13"/>
      <c r="Z102" s="13"/>
    </row>
    <row r="103" ht="15.75" customHeight="1">
      <c r="A103" s="13"/>
      <c r="B103" s="112" t="str">
        <f>'Assumptions (P3RTO)'!C173</f>
        <v>Other: Accessibility Inspections and Plan Review</v>
      </c>
      <c r="C103" s="113">
        <f>'Assumptions (P3RTO)'!D173</f>
        <v>15000</v>
      </c>
      <c r="D103" s="114">
        <f>C103/unit_three_rto</f>
        <v>405.4054054</v>
      </c>
      <c r="E103" s="126">
        <v>0.0</v>
      </c>
      <c r="F103" s="114">
        <f>E103/unit_three_rto</f>
        <v>0</v>
      </c>
      <c r="G103" s="115">
        <f t="shared" si="9"/>
        <v>15000</v>
      </c>
      <c r="H103" s="13"/>
      <c r="I103" s="104"/>
      <c r="J103" s="95"/>
      <c r="K103" s="13"/>
      <c r="L103" s="13"/>
      <c r="M103" s="13"/>
      <c r="N103" s="13"/>
      <c r="O103" s="13"/>
      <c r="P103" s="13"/>
      <c r="Q103" s="13"/>
      <c r="R103" s="13"/>
      <c r="S103" s="13"/>
      <c r="T103" s="13"/>
      <c r="U103" s="13"/>
      <c r="V103" s="13"/>
      <c r="W103" s="13"/>
      <c r="X103" s="13"/>
      <c r="Y103" s="13"/>
      <c r="Z103" s="13"/>
    </row>
    <row r="104" ht="15.75" customHeight="1">
      <c r="A104" s="13"/>
      <c r="B104" s="117" t="s">
        <v>95</v>
      </c>
      <c r="C104" s="118">
        <f>SUM(C94:C103)</f>
        <v>224137.5</v>
      </c>
      <c r="D104" s="118">
        <f>C104/unit_three_rto</f>
        <v>6057.77027</v>
      </c>
      <c r="E104" s="118">
        <f>SUM(E94:E103)</f>
        <v>0</v>
      </c>
      <c r="F104" s="118">
        <f>E104/unit_three_rto</f>
        <v>0</v>
      </c>
      <c r="G104" s="118">
        <f>SUM(G94:G103)</f>
        <v>224137.5</v>
      </c>
      <c r="H104" s="13"/>
      <c r="I104" s="13"/>
      <c r="J104" s="13"/>
      <c r="K104" s="13"/>
      <c r="L104" s="13"/>
      <c r="M104" s="13"/>
      <c r="N104" s="13"/>
      <c r="O104" s="13"/>
      <c r="P104" s="13"/>
      <c r="Q104" s="13"/>
      <c r="R104" s="13"/>
      <c r="S104" s="13"/>
      <c r="T104" s="13"/>
      <c r="U104" s="13"/>
      <c r="V104" s="13"/>
      <c r="W104" s="13"/>
      <c r="X104" s="13"/>
      <c r="Y104" s="13"/>
      <c r="Z104" s="13"/>
    </row>
    <row r="105" ht="15.75" customHeight="1">
      <c r="A105" s="13"/>
      <c r="B105" s="139"/>
      <c r="C105" s="140"/>
      <c r="D105" s="140"/>
      <c r="E105" s="140"/>
      <c r="F105" s="140"/>
      <c r="G105" s="140"/>
      <c r="H105" s="13"/>
      <c r="I105" s="13"/>
      <c r="J105" s="13"/>
      <c r="K105" s="13"/>
      <c r="L105" s="13"/>
      <c r="M105" s="13"/>
      <c r="N105" s="13"/>
      <c r="O105" s="13"/>
      <c r="P105" s="13"/>
      <c r="Q105" s="13"/>
      <c r="R105" s="13"/>
      <c r="S105" s="13"/>
      <c r="T105" s="13"/>
      <c r="U105" s="13"/>
      <c r="V105" s="13"/>
      <c r="W105" s="13"/>
      <c r="X105" s="13"/>
      <c r="Y105" s="13"/>
      <c r="Z105" s="13"/>
    </row>
    <row r="106" ht="30.0" customHeight="1">
      <c r="A106" s="13"/>
      <c r="B106" s="141" t="s">
        <v>137</v>
      </c>
      <c r="C106" s="118">
        <f>C54+C64+C78+C92+C104</f>
        <v>9972260.699</v>
      </c>
      <c r="D106" s="118">
        <f>C106/unit_three_rto</f>
        <v>269520.5594</v>
      </c>
      <c r="E106" s="118">
        <f>E54+E64+E78+E92+E104</f>
        <v>0</v>
      </c>
      <c r="F106" s="118">
        <f>E106/unit_three_rto</f>
        <v>0</v>
      </c>
      <c r="G106" s="118">
        <f>G54+G64+G78+G92+G104</f>
        <v>8754406.996</v>
      </c>
      <c r="H106" s="13"/>
      <c r="I106" s="13"/>
      <c r="J106" s="13"/>
      <c r="K106" s="13"/>
      <c r="L106" s="13"/>
      <c r="M106" s="13"/>
      <c r="N106" s="13"/>
      <c r="O106" s="13"/>
      <c r="P106" s="13"/>
      <c r="Q106" s="13"/>
      <c r="R106" s="13"/>
      <c r="S106" s="13"/>
      <c r="T106" s="13"/>
      <c r="U106" s="13"/>
      <c r="V106" s="13"/>
      <c r="W106" s="13"/>
      <c r="X106" s="13"/>
      <c r="Y106" s="13"/>
      <c r="Z106" s="13"/>
    </row>
    <row r="107" ht="15.75" customHeight="1">
      <c r="A107" s="13"/>
      <c r="B107" s="139"/>
      <c r="C107" s="140"/>
      <c r="D107" s="140"/>
      <c r="E107" s="140"/>
      <c r="F107" s="140"/>
      <c r="G107" s="140"/>
      <c r="H107" s="13"/>
      <c r="I107" s="13"/>
      <c r="J107" s="13"/>
      <c r="K107" s="13"/>
      <c r="L107" s="13"/>
      <c r="M107" s="13"/>
      <c r="N107" s="13"/>
      <c r="O107" s="13"/>
      <c r="P107" s="13"/>
      <c r="Q107" s="13"/>
      <c r="R107" s="13"/>
      <c r="S107" s="13"/>
      <c r="T107" s="13"/>
      <c r="U107" s="13"/>
      <c r="V107" s="13"/>
      <c r="W107" s="13"/>
      <c r="X107" s="13"/>
      <c r="Y107" s="13"/>
      <c r="Z107" s="13"/>
    </row>
    <row r="108" ht="15.75" customHeight="1">
      <c r="A108" s="13"/>
      <c r="B108" s="120" t="s">
        <v>138</v>
      </c>
      <c r="C108" s="121"/>
      <c r="D108" s="137"/>
      <c r="E108" s="122"/>
      <c r="F108" s="137"/>
      <c r="G108" s="122"/>
      <c r="H108" s="13"/>
      <c r="I108" s="13"/>
      <c r="J108" s="13"/>
      <c r="K108" s="13"/>
      <c r="L108" s="13"/>
      <c r="M108" s="13"/>
      <c r="N108" s="13"/>
      <c r="O108" s="13"/>
      <c r="P108" s="13"/>
      <c r="Q108" s="13"/>
      <c r="R108" s="13"/>
      <c r="S108" s="13"/>
      <c r="T108" s="13"/>
      <c r="U108" s="13"/>
      <c r="V108" s="13"/>
      <c r="W108" s="13"/>
      <c r="X108" s="13"/>
      <c r="Y108" s="13"/>
      <c r="Z108" s="13"/>
    </row>
    <row r="109" ht="15.75" customHeight="1">
      <c r="A109" s="13"/>
      <c r="B109" s="112" t="s">
        <v>54</v>
      </c>
      <c r="C109" s="125">
        <f>unit_three_rto*'Assumptions (P3RTO)'!D176</f>
        <v>777000</v>
      </c>
      <c r="D109" s="114">
        <f>C109/unit_three_rto</f>
        <v>21000</v>
      </c>
      <c r="E109" s="126">
        <v>0.0</v>
      </c>
      <c r="F109" s="114">
        <f>E109/unit_three_rto</f>
        <v>0</v>
      </c>
      <c r="G109" s="115">
        <f t="shared" ref="G109:G110" si="10">C109</f>
        <v>777000</v>
      </c>
      <c r="H109" s="13"/>
      <c r="I109" s="104"/>
      <c r="J109" s="13"/>
      <c r="K109" s="13"/>
      <c r="L109" s="13"/>
      <c r="M109" s="13"/>
      <c r="N109" s="13"/>
      <c r="O109" s="13"/>
      <c r="P109" s="13"/>
      <c r="Q109" s="13"/>
      <c r="R109" s="13"/>
      <c r="S109" s="13"/>
      <c r="T109" s="13"/>
      <c r="U109" s="13"/>
      <c r="V109" s="13"/>
      <c r="W109" s="13"/>
      <c r="X109" s="13"/>
      <c r="Y109" s="13"/>
      <c r="Z109" s="13"/>
    </row>
    <row r="110" ht="15.75" customHeight="1">
      <c r="A110" s="13"/>
      <c r="B110" s="116" t="s">
        <v>102</v>
      </c>
      <c r="C110" s="125">
        <v>0.0</v>
      </c>
      <c r="D110" s="114">
        <f>C110/unit_three_rto</f>
        <v>0</v>
      </c>
      <c r="E110" s="126">
        <v>0.0</v>
      </c>
      <c r="F110" s="114">
        <f>E110/unit_three_rto</f>
        <v>0</v>
      </c>
      <c r="G110" s="115">
        <f t="shared" si="10"/>
        <v>0</v>
      </c>
      <c r="H110" s="13"/>
      <c r="I110" s="104"/>
      <c r="J110" s="95"/>
      <c r="K110" s="13"/>
      <c r="L110" s="13"/>
      <c r="M110" s="13"/>
      <c r="N110" s="13"/>
      <c r="O110" s="13"/>
      <c r="P110" s="13"/>
      <c r="Q110" s="13"/>
      <c r="R110" s="13"/>
      <c r="S110" s="13"/>
      <c r="T110" s="13"/>
      <c r="U110" s="13"/>
      <c r="V110" s="13"/>
      <c r="W110" s="13"/>
      <c r="X110" s="13"/>
      <c r="Y110" s="13"/>
      <c r="Z110" s="13"/>
    </row>
    <row r="111" ht="15.75" customHeight="1">
      <c r="A111" s="13"/>
      <c r="B111" s="117" t="s">
        <v>95</v>
      </c>
      <c r="C111" s="118">
        <f>SUM(C109:C110)</f>
        <v>777000</v>
      </c>
      <c r="D111" s="118">
        <f>C111/unit_three_rto</f>
        <v>21000</v>
      </c>
      <c r="E111" s="118">
        <f>SUM(E109:E110)</f>
        <v>0</v>
      </c>
      <c r="F111" s="118">
        <f>E111/unit_three_rto</f>
        <v>0</v>
      </c>
      <c r="G111" s="118">
        <f>SUM(G109:G110)</f>
        <v>777000</v>
      </c>
      <c r="H111" s="13"/>
      <c r="I111" s="13"/>
      <c r="J111" s="13"/>
      <c r="K111" s="13"/>
      <c r="L111" s="13"/>
      <c r="M111" s="13"/>
      <c r="N111" s="13"/>
      <c r="O111" s="13"/>
      <c r="P111" s="13"/>
      <c r="Q111" s="13"/>
      <c r="R111" s="13"/>
      <c r="S111" s="13"/>
      <c r="T111" s="13"/>
      <c r="U111" s="13"/>
      <c r="V111" s="13"/>
      <c r="W111" s="13"/>
      <c r="X111" s="13"/>
      <c r="Y111" s="13"/>
      <c r="Z111" s="13"/>
    </row>
    <row r="112" ht="15.75" customHeight="1">
      <c r="A112" s="13"/>
      <c r="B112" s="142" t="s">
        <v>545</v>
      </c>
      <c r="C112" s="121"/>
      <c r="D112" s="137"/>
      <c r="E112" s="122"/>
      <c r="F112" s="137"/>
      <c r="G112" s="122"/>
      <c r="H112" s="13"/>
      <c r="I112" s="13"/>
      <c r="J112" s="13"/>
      <c r="K112" s="13"/>
      <c r="L112" s="13"/>
      <c r="M112" s="13"/>
      <c r="N112" s="13"/>
      <c r="O112" s="13"/>
      <c r="P112" s="13"/>
      <c r="Q112" s="13"/>
      <c r="R112" s="13"/>
      <c r="S112" s="13"/>
      <c r="T112" s="13"/>
      <c r="U112" s="13"/>
      <c r="V112" s="13"/>
      <c r="W112" s="13"/>
      <c r="X112" s="13"/>
      <c r="Y112" s="13"/>
      <c r="Z112" s="13"/>
    </row>
    <row r="113" ht="15.75" customHeight="1">
      <c r="A113" s="13"/>
      <c r="B113" s="112" t="s">
        <v>140</v>
      </c>
      <c r="C113" s="113">
        <f>('Assumptions (P3RTO)'!D180/12)*'Income &amp; Expenses (P3RTO)'!$C$5</f>
        <v>223305.5679</v>
      </c>
      <c r="D113" s="114">
        <f>C113/unit_three_rto</f>
        <v>6035.285618</v>
      </c>
      <c r="E113" s="115">
        <v>0.0</v>
      </c>
      <c r="F113" s="114">
        <f>E113/unit_three_rto</f>
        <v>0</v>
      </c>
      <c r="G113" s="115">
        <v>0.0</v>
      </c>
      <c r="H113" s="13"/>
      <c r="I113" s="143"/>
      <c r="J113" s="75"/>
      <c r="K113" s="13"/>
      <c r="L113" s="13"/>
      <c r="M113" s="13"/>
      <c r="N113" s="13"/>
      <c r="O113" s="13"/>
      <c r="P113" s="13"/>
      <c r="Q113" s="13"/>
      <c r="R113" s="13"/>
      <c r="S113" s="13"/>
      <c r="T113" s="13"/>
      <c r="U113" s="13"/>
      <c r="V113" s="13"/>
      <c r="W113" s="13"/>
      <c r="X113" s="13"/>
      <c r="Y113" s="13"/>
      <c r="Z113" s="13"/>
    </row>
    <row r="114" ht="15.75" customHeight="1">
      <c r="A114" s="13"/>
      <c r="B114" s="112" t="s">
        <v>141</v>
      </c>
      <c r="C114" s="113">
        <f>unit_three_rto*'Assumptions (P3RTO)'!D181</f>
        <v>11100</v>
      </c>
      <c r="D114" s="114">
        <f>C114/unit_three_rto</f>
        <v>300</v>
      </c>
      <c r="E114" s="115">
        <v>0.0</v>
      </c>
      <c r="F114" s="114">
        <f>E114/unit_three_rto</f>
        <v>0</v>
      </c>
      <c r="G114" s="115">
        <v>0.0</v>
      </c>
      <c r="H114" s="13"/>
      <c r="I114" s="104"/>
      <c r="J114" s="13"/>
      <c r="K114" s="13"/>
      <c r="L114" s="13"/>
      <c r="M114" s="13"/>
      <c r="N114" s="13"/>
      <c r="O114" s="13"/>
      <c r="P114" s="13"/>
      <c r="Q114" s="13"/>
      <c r="R114" s="13"/>
      <c r="S114" s="13"/>
      <c r="T114" s="13"/>
      <c r="U114" s="13"/>
      <c r="V114" s="13"/>
      <c r="W114" s="13"/>
      <c r="X114" s="13"/>
      <c r="Y114" s="13"/>
      <c r="Z114" s="13"/>
    </row>
    <row r="115" ht="15.75" customHeight="1">
      <c r="A115" s="13"/>
      <c r="B115" s="112" t="s">
        <v>142</v>
      </c>
      <c r="C115" s="113">
        <f>('Assumptions (P3RTO)'!D182/12)*'Income &amp; Expenses (P3RTO)'!$C$5</f>
        <v>111652.7839</v>
      </c>
      <c r="D115" s="114">
        <f>C115/unit_three_rto</f>
        <v>3017.642809</v>
      </c>
      <c r="E115" s="115">
        <v>0.0</v>
      </c>
      <c r="F115" s="114">
        <f>E115/unit_three_rto</f>
        <v>0</v>
      </c>
      <c r="G115" s="115">
        <v>0.0</v>
      </c>
      <c r="H115" s="13"/>
      <c r="I115" s="104"/>
      <c r="J115" s="13"/>
      <c r="K115" s="13"/>
      <c r="L115" s="13"/>
      <c r="M115" s="13"/>
      <c r="N115" s="13"/>
      <c r="O115" s="13"/>
      <c r="P115" s="13"/>
      <c r="Q115" s="13"/>
      <c r="R115" s="13"/>
      <c r="S115" s="13"/>
      <c r="T115" s="13"/>
      <c r="U115" s="13"/>
      <c r="V115" s="13"/>
      <c r="W115" s="13"/>
      <c r="X115" s="13"/>
      <c r="Y115" s="13"/>
      <c r="Z115" s="13"/>
    </row>
    <row r="116" ht="15.75" customHeight="1">
      <c r="A116" s="13"/>
      <c r="B116" s="112" t="s">
        <v>143</v>
      </c>
      <c r="C116" s="113">
        <f>'Assumptions (P3RTO)'!D183/12*'Income &amp; Expenses (P3RTO)'!C114</f>
        <v>1821.882754</v>
      </c>
      <c r="D116" s="114">
        <f>C116/unit_three_rto</f>
        <v>49.24007444</v>
      </c>
      <c r="E116" s="115">
        <v>0.0</v>
      </c>
      <c r="F116" s="114">
        <f>E116/unit_three_rto</f>
        <v>0</v>
      </c>
      <c r="G116" s="115">
        <v>0.0</v>
      </c>
      <c r="H116" s="13"/>
      <c r="I116" s="104"/>
      <c r="J116" s="13"/>
      <c r="K116" s="13"/>
      <c r="L116" s="13"/>
      <c r="M116" s="13"/>
      <c r="N116" s="13"/>
      <c r="O116" s="13"/>
      <c r="P116" s="13"/>
      <c r="Q116" s="13"/>
      <c r="R116" s="13"/>
      <c r="S116" s="13"/>
      <c r="T116" s="13"/>
      <c r="U116" s="13"/>
      <c r="V116" s="13"/>
      <c r="W116" s="13"/>
      <c r="X116" s="13"/>
      <c r="Y116" s="13"/>
      <c r="Z116" s="13"/>
    </row>
    <row r="117" ht="15.75" customHeight="1">
      <c r="A117" s="13"/>
      <c r="B117" s="112" t="s">
        <v>144</v>
      </c>
      <c r="C117" s="113">
        <f>'Assumptions (P3RTO)'!D184/12*'Income &amp; Expenses (P3RTO)'!C109</f>
        <v>42789.25</v>
      </c>
      <c r="D117" s="114">
        <f>C117/unit_three_rto</f>
        <v>1156.466216</v>
      </c>
      <c r="E117" s="115">
        <v>0.0</v>
      </c>
      <c r="F117" s="114">
        <f>E117/unit_three_rto</f>
        <v>0</v>
      </c>
      <c r="G117" s="115">
        <v>0.0</v>
      </c>
      <c r="H117" s="13"/>
      <c r="I117" s="104"/>
      <c r="J117" s="13"/>
      <c r="K117" s="13"/>
      <c r="L117" s="13"/>
      <c r="M117" s="13"/>
      <c r="N117" s="13"/>
      <c r="O117" s="13"/>
      <c r="P117" s="13"/>
      <c r="Q117" s="13"/>
      <c r="R117" s="13"/>
      <c r="S117" s="13"/>
      <c r="T117" s="13"/>
      <c r="U117" s="13"/>
      <c r="V117" s="13"/>
      <c r="W117" s="13"/>
      <c r="X117" s="13"/>
      <c r="Y117" s="13"/>
      <c r="Z117" s="13"/>
    </row>
    <row r="118" ht="15.75" customHeight="1">
      <c r="A118" s="13"/>
      <c r="B118" s="112" t="s">
        <v>102</v>
      </c>
      <c r="C118" s="113">
        <f>'Assumptions (P3RTO)'!D185</f>
        <v>0</v>
      </c>
      <c r="D118" s="114">
        <f>C118/unit_three_rto</f>
        <v>0</v>
      </c>
      <c r="E118" s="115">
        <v>0.0</v>
      </c>
      <c r="F118" s="114">
        <f>E118/unit_three_rto</f>
        <v>0</v>
      </c>
      <c r="G118" s="115">
        <v>0.0</v>
      </c>
      <c r="H118" s="13"/>
      <c r="I118" s="104"/>
      <c r="J118" s="13"/>
      <c r="K118" s="13"/>
      <c r="L118" s="13"/>
      <c r="M118" s="13"/>
      <c r="N118" s="13"/>
      <c r="O118" s="13"/>
      <c r="P118" s="13"/>
      <c r="Q118" s="13"/>
      <c r="R118" s="13"/>
      <c r="S118" s="13"/>
      <c r="T118" s="13"/>
      <c r="U118" s="13"/>
      <c r="V118" s="13"/>
      <c r="W118" s="13"/>
      <c r="X118" s="13"/>
      <c r="Y118" s="13"/>
      <c r="Z118" s="13"/>
    </row>
    <row r="119" ht="15.75" customHeight="1">
      <c r="A119" s="13"/>
      <c r="B119" s="112" t="s">
        <v>102</v>
      </c>
      <c r="C119" s="113">
        <f>'Assumptions (P3RTO)'!D186</f>
        <v>0</v>
      </c>
      <c r="D119" s="114">
        <f>C119/unit_three_rto</f>
        <v>0</v>
      </c>
      <c r="E119" s="115">
        <v>0.0</v>
      </c>
      <c r="F119" s="114">
        <f>E119/unit_three_rto</f>
        <v>0</v>
      </c>
      <c r="G119" s="115">
        <v>0.0</v>
      </c>
      <c r="H119" s="13"/>
      <c r="I119" s="104"/>
      <c r="J119" s="95"/>
      <c r="K119" s="13"/>
      <c r="L119" s="13"/>
      <c r="M119" s="13"/>
      <c r="N119" s="13"/>
      <c r="O119" s="13"/>
      <c r="P119" s="13"/>
      <c r="Q119" s="13"/>
      <c r="R119" s="13"/>
      <c r="S119" s="13"/>
      <c r="T119" s="13"/>
      <c r="U119" s="13"/>
      <c r="V119" s="13"/>
      <c r="W119" s="13"/>
      <c r="X119" s="13"/>
      <c r="Y119" s="13"/>
      <c r="Z119" s="13"/>
    </row>
    <row r="120" ht="15.75" customHeight="1">
      <c r="A120" s="13"/>
      <c r="B120" s="112" t="s">
        <v>102</v>
      </c>
      <c r="C120" s="113">
        <f>'Assumptions (P3RTO)'!D187</f>
        <v>0</v>
      </c>
      <c r="D120" s="114">
        <f>C120/unit_three_rto</f>
        <v>0</v>
      </c>
      <c r="E120" s="115">
        <v>0.0</v>
      </c>
      <c r="F120" s="114">
        <f>E120/unit_three_rto</f>
        <v>0</v>
      </c>
      <c r="G120" s="115">
        <v>0.0</v>
      </c>
      <c r="H120" s="13"/>
      <c r="I120" s="104"/>
      <c r="J120" s="95"/>
      <c r="K120" s="13"/>
      <c r="L120" s="13"/>
      <c r="M120" s="13"/>
      <c r="N120" s="13"/>
      <c r="O120" s="13"/>
      <c r="P120" s="13"/>
      <c r="Q120" s="13"/>
      <c r="R120" s="13"/>
      <c r="S120" s="13"/>
      <c r="T120" s="13"/>
      <c r="U120" s="13"/>
      <c r="V120" s="13"/>
      <c r="W120" s="13"/>
      <c r="X120" s="13"/>
      <c r="Y120" s="13"/>
      <c r="Z120" s="13"/>
    </row>
    <row r="121" ht="15.75" customHeight="1">
      <c r="A121" s="13"/>
      <c r="B121" s="116" t="s">
        <v>102</v>
      </c>
      <c r="C121" s="113">
        <f>'Assumptions (P3RTO)'!D188</f>
        <v>0</v>
      </c>
      <c r="D121" s="114">
        <f>C121/unit_three_rto</f>
        <v>0</v>
      </c>
      <c r="E121" s="126">
        <v>0.0</v>
      </c>
      <c r="F121" s="114">
        <f>E121/unit_three_rto</f>
        <v>0</v>
      </c>
      <c r="G121" s="115">
        <v>0.0</v>
      </c>
      <c r="H121" s="13"/>
      <c r="I121" s="104"/>
      <c r="J121" s="95"/>
      <c r="K121" s="13"/>
      <c r="L121" s="13"/>
      <c r="M121" s="13"/>
      <c r="N121" s="13"/>
      <c r="O121" s="13"/>
      <c r="P121" s="13"/>
      <c r="Q121" s="13"/>
      <c r="R121" s="13"/>
      <c r="S121" s="13"/>
      <c r="T121" s="13"/>
      <c r="U121" s="13"/>
      <c r="V121" s="13"/>
      <c r="W121" s="13"/>
      <c r="X121" s="13"/>
      <c r="Y121" s="13"/>
      <c r="Z121" s="13"/>
    </row>
    <row r="122" ht="15.75" customHeight="1">
      <c r="A122" s="13"/>
      <c r="B122" s="117" t="s">
        <v>95</v>
      </c>
      <c r="C122" s="118">
        <f>SUM(C113:C121)</f>
        <v>390669.4845</v>
      </c>
      <c r="D122" s="118">
        <f>C122/unit_three_rto</f>
        <v>10558.63472</v>
      </c>
      <c r="E122" s="118">
        <f>SUM(E113:E121)</f>
        <v>0</v>
      </c>
      <c r="F122" s="118">
        <f>E122/unit_three_rto</f>
        <v>0</v>
      </c>
      <c r="G122" s="118">
        <f>SUM(G113:G121)</f>
        <v>0</v>
      </c>
      <c r="H122" s="13"/>
      <c r="I122" s="13"/>
      <c r="J122" s="13"/>
      <c r="K122" s="13"/>
      <c r="L122" s="13"/>
      <c r="M122" s="13"/>
      <c r="N122" s="13"/>
      <c r="O122" s="13"/>
      <c r="P122" s="13"/>
      <c r="Q122" s="13"/>
      <c r="R122" s="13"/>
      <c r="S122" s="13"/>
      <c r="T122" s="13"/>
      <c r="U122" s="13"/>
      <c r="V122" s="13"/>
      <c r="W122" s="13"/>
      <c r="X122" s="13"/>
      <c r="Y122" s="13"/>
      <c r="Z122" s="13"/>
    </row>
    <row r="123" ht="15.75" customHeight="1">
      <c r="A123" s="13"/>
      <c r="B123" s="127" t="s">
        <v>145</v>
      </c>
      <c r="C123" s="144">
        <f>C64+C78+C92+C104+C111+C122</f>
        <v>2662564.564</v>
      </c>
      <c r="D123" s="144">
        <f>C123/unit_three_rto</f>
        <v>71961.20443</v>
      </c>
      <c r="E123" s="144">
        <f>E64+E78+E92+E104+E111+E122</f>
        <v>0</v>
      </c>
      <c r="F123" s="144">
        <f>E123/unit_three_rto</f>
        <v>0</v>
      </c>
      <c r="G123" s="144">
        <f>G64+G78+G92+G104+G111+G122</f>
        <v>1983443.158</v>
      </c>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145"/>
      <c r="C124" s="146"/>
      <c r="D124" s="146"/>
      <c r="E124" s="146"/>
      <c r="F124" s="146"/>
      <c r="G124" s="146"/>
      <c r="H124" s="13"/>
      <c r="I124" s="34"/>
      <c r="J124" s="13"/>
      <c r="K124" s="13"/>
      <c r="L124" s="13"/>
      <c r="M124" s="13"/>
      <c r="N124" s="13"/>
      <c r="O124" s="13"/>
      <c r="P124" s="13"/>
      <c r="Q124" s="13"/>
      <c r="R124" s="13"/>
      <c r="S124" s="13"/>
      <c r="T124" s="13"/>
      <c r="U124" s="13"/>
      <c r="V124" s="13"/>
      <c r="W124" s="13"/>
      <c r="X124" s="13"/>
      <c r="Y124" s="13"/>
      <c r="Z124" s="13"/>
    </row>
    <row r="125" ht="15.75" customHeight="1">
      <c r="A125" s="13"/>
      <c r="B125" s="127" t="s">
        <v>146</v>
      </c>
      <c r="C125" s="128">
        <f>C44+C53+C64+C78+C92+C104+C111+C122</f>
        <v>11139930.18</v>
      </c>
      <c r="D125" s="147">
        <f>C125/unit_three_rto</f>
        <v>301079.1942</v>
      </c>
      <c r="E125" s="128">
        <f>E44+E53+E64+E78+E92+E104+E111+E122</f>
        <v>0</v>
      </c>
      <c r="F125" s="147">
        <f>E125/unit_three_rto</f>
        <v>0</v>
      </c>
      <c r="G125" s="128">
        <f>G44+G53+G64+G78+G92+G104+G111+G122</f>
        <v>9531406.996</v>
      </c>
      <c r="H125" s="13"/>
      <c r="I125" s="75"/>
      <c r="J125" s="13"/>
      <c r="K125" s="13"/>
      <c r="L125" s="13"/>
      <c r="M125" s="13"/>
      <c r="N125" s="13"/>
      <c r="O125" s="13"/>
      <c r="P125" s="13"/>
      <c r="Q125" s="13"/>
      <c r="R125" s="13"/>
      <c r="S125" s="13"/>
      <c r="T125" s="13"/>
      <c r="U125" s="13"/>
      <c r="V125" s="13"/>
      <c r="W125" s="13"/>
      <c r="X125" s="13"/>
      <c r="Y125" s="13"/>
      <c r="Z125" s="13"/>
    </row>
    <row r="126" ht="15.75" customHeight="1">
      <c r="A126" s="13"/>
      <c r="B126" s="62"/>
      <c r="C126" s="34"/>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5.75" customHeight="1">
      <c r="A127" s="13"/>
      <c r="B127" s="60" t="s">
        <v>147</v>
      </c>
      <c r="C127" s="37"/>
      <c r="D127" s="37"/>
      <c r="E127" s="37"/>
      <c r="F127" s="37"/>
      <c r="G127" s="37"/>
      <c r="H127" s="37"/>
      <c r="I127" s="37"/>
      <c r="J127" s="37"/>
      <c r="K127" s="13"/>
      <c r="L127" s="13"/>
      <c r="M127" s="13"/>
      <c r="N127" s="13"/>
      <c r="O127" s="13"/>
      <c r="P127" s="13"/>
      <c r="Q127" s="13"/>
      <c r="R127" s="13"/>
      <c r="S127" s="13"/>
      <c r="T127" s="13"/>
      <c r="U127" s="13"/>
      <c r="V127" s="13"/>
      <c r="W127" s="13"/>
      <c r="X127" s="13"/>
      <c r="Y127" s="13"/>
      <c r="Z127" s="13"/>
    </row>
    <row r="128" ht="15.75" customHeight="1">
      <c r="A128" s="13"/>
      <c r="B128" s="62"/>
      <c r="C128" s="34"/>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5.75" customHeight="1">
      <c r="A129" s="13"/>
      <c r="B129" s="149" t="s">
        <v>148</v>
      </c>
      <c r="C129" s="37"/>
      <c r="D129" s="37"/>
      <c r="E129" s="37"/>
      <c r="F129" s="37"/>
      <c r="G129" s="37"/>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50" t="s">
        <v>149</v>
      </c>
      <c r="C130" s="152">
        <v>0.09</v>
      </c>
      <c r="D130" s="13"/>
      <c r="F130" s="13"/>
      <c r="G130" s="13"/>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257"/>
      <c r="C131" s="416"/>
      <c r="D131" s="13"/>
      <c r="F131" s="13"/>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417" t="s">
        <v>162</v>
      </c>
      <c r="C132" s="418"/>
      <c r="D132" s="13"/>
      <c r="F132" s="13"/>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230" t="s">
        <v>150</v>
      </c>
      <c r="C133" s="419">
        <f>G125</f>
        <v>9531406.996</v>
      </c>
      <c r="D133" s="13"/>
      <c r="F133" s="13"/>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230" t="s">
        <v>151</v>
      </c>
      <c r="C134" s="420">
        <v>1.0</v>
      </c>
      <c r="D134" s="13"/>
      <c r="F134" s="13"/>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230" t="s">
        <v>152</v>
      </c>
      <c r="C135" s="331">
        <f>C133*C134</f>
        <v>9531406.996</v>
      </c>
      <c r="D135" s="95"/>
      <c r="F135" s="13"/>
      <c r="G135" s="13"/>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230" t="s">
        <v>153</v>
      </c>
      <c r="C136" s="331">
        <f>IF(G136="Yes",C135*1.3,C135)</f>
        <v>9531406.996</v>
      </c>
      <c r="D136" s="13"/>
      <c r="F136" s="164" t="s">
        <v>154</v>
      </c>
      <c r="G136" s="165" t="s">
        <v>155</v>
      </c>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230" t="s">
        <v>156</v>
      </c>
      <c r="C137" s="421">
        <v>0.09</v>
      </c>
      <c r="D137" s="13"/>
      <c r="F137" s="168"/>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53" t="s">
        <v>157</v>
      </c>
      <c r="C138" s="422">
        <f>C136*C137</f>
        <v>857826.6296</v>
      </c>
      <c r="D138" s="13"/>
      <c r="F138" s="168"/>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423" t="s">
        <v>546</v>
      </c>
      <c r="C139" s="424">
        <f>C138</f>
        <v>857826.6296</v>
      </c>
      <c r="D139" s="13"/>
      <c r="F139" s="168"/>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230"/>
      <c r="C140" s="331"/>
      <c r="D140" s="13"/>
      <c r="F140" s="171"/>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423" t="s">
        <v>168</v>
      </c>
      <c r="C141" s="425"/>
      <c r="D141" s="13"/>
      <c r="F141" s="426"/>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230" t="s">
        <v>169</v>
      </c>
      <c r="C142" s="427">
        <f>C125</f>
        <v>11139930.18</v>
      </c>
      <c r="D142" s="13"/>
      <c r="F142" s="426"/>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53" t="s">
        <v>170</v>
      </c>
      <c r="C143" s="428">
        <f>C5+C7+C8+C9+C10+C11+C12+C13+C14</f>
        <v>3995790.925</v>
      </c>
      <c r="D143" s="13"/>
      <c r="F143" s="426"/>
      <c r="G143" s="13"/>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230" t="s">
        <v>171</v>
      </c>
      <c r="C144" s="331">
        <f>C142-C143</f>
        <v>7144139.259</v>
      </c>
      <c r="D144" s="13"/>
      <c r="F144" s="426"/>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230" t="s">
        <v>172</v>
      </c>
      <c r="C145" s="419">
        <v>10.0</v>
      </c>
      <c r="D145" s="13"/>
      <c r="F145" s="426"/>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230" t="s">
        <v>173</v>
      </c>
      <c r="C146" s="331">
        <f>C144/C145</f>
        <v>714413.9259</v>
      </c>
      <c r="D146" s="13"/>
      <c r="F146" s="426"/>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230" t="s">
        <v>174</v>
      </c>
      <c r="C147" s="429">
        <v>0.86</v>
      </c>
      <c r="D147" s="13"/>
      <c r="F147" s="426"/>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53" t="s">
        <v>175</v>
      </c>
      <c r="C148" s="422">
        <f>C146/C147</f>
        <v>830713.8673</v>
      </c>
      <c r="D148" s="13"/>
      <c r="F148" s="426"/>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423" t="s">
        <v>547</v>
      </c>
      <c r="C149" s="424">
        <f>C148</f>
        <v>830713.8673</v>
      </c>
      <c r="D149" s="13"/>
      <c r="F149" s="426"/>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430" t="s">
        <v>548</v>
      </c>
      <c r="C150" s="431">
        <v>1400000.0</v>
      </c>
      <c r="D150" s="13"/>
      <c r="F150" s="426"/>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432"/>
      <c r="C151" s="433"/>
      <c r="D151" s="13"/>
      <c r="F151" s="426"/>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95" t="s">
        <v>549</v>
      </c>
      <c r="C152" s="434">
        <f>MAX(MIN(C149,C139,C150),0)</f>
        <v>830713.8673</v>
      </c>
      <c r="D152" s="13"/>
      <c r="F152" s="426"/>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230" t="s">
        <v>159</v>
      </c>
      <c r="C153" s="429">
        <f>C147</f>
        <v>0.86</v>
      </c>
      <c r="D153" s="13"/>
      <c r="F153" s="13"/>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97" t="s">
        <v>160</v>
      </c>
      <c r="C154" s="435">
        <f>C152*C153*C145</f>
        <v>7144139.259</v>
      </c>
      <c r="D154" s="177"/>
      <c r="F154" s="13"/>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3"/>
      <c r="C155" s="34"/>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c r="C156" s="34"/>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78" t="s">
        <v>550</v>
      </c>
      <c r="C157" s="37"/>
      <c r="D157" s="37"/>
      <c r="E157" s="37"/>
      <c r="F157" s="37"/>
      <c r="G157" s="37"/>
      <c r="H157" s="13"/>
      <c r="I157" s="13"/>
      <c r="J157" s="13"/>
      <c r="K157" s="13"/>
      <c r="L157" s="13"/>
      <c r="M157" s="13"/>
      <c r="N157" s="13"/>
      <c r="O157" s="13"/>
      <c r="P157" s="13"/>
      <c r="Q157" s="13"/>
      <c r="R157" s="13"/>
      <c r="S157" s="13"/>
      <c r="T157" s="13"/>
      <c r="U157" s="13"/>
      <c r="V157" s="13"/>
      <c r="W157" s="13"/>
      <c r="X157" s="13"/>
      <c r="Y157" s="13"/>
      <c r="Z157" s="13"/>
    </row>
    <row r="158" ht="15.75" customHeight="1">
      <c r="A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79" t="s">
        <v>551</v>
      </c>
      <c r="C159" s="436" t="s">
        <v>552</v>
      </c>
      <c r="D159" s="436" t="s">
        <v>553</v>
      </c>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t="s">
        <v>554</v>
      </c>
      <c r="C160" s="13">
        <v>5.0</v>
      </c>
      <c r="D160" s="437">
        <v>0.0</v>
      </c>
      <c r="F160" s="13"/>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t="s">
        <v>555</v>
      </c>
      <c r="C161" s="13">
        <v>25.0</v>
      </c>
      <c r="D161" s="437">
        <v>25.0</v>
      </c>
      <c r="F161" s="13"/>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3" t="s">
        <v>556</v>
      </c>
      <c r="C162" s="13">
        <v>12.0</v>
      </c>
      <c r="D162" s="437">
        <v>8.0</v>
      </c>
      <c r="E162" s="95"/>
      <c r="F162" s="13"/>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3" t="s">
        <v>557</v>
      </c>
      <c r="C163" s="13">
        <v>5.0</v>
      </c>
      <c r="D163" s="437">
        <v>5.0</v>
      </c>
      <c r="F163" s="13"/>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3" t="s">
        <v>558</v>
      </c>
      <c r="C164" s="13">
        <v>63.0</v>
      </c>
      <c r="D164" s="437">
        <v>60.0</v>
      </c>
      <c r="F164" s="13"/>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t="s">
        <v>559</v>
      </c>
      <c r="C165" s="13">
        <v>15.0</v>
      </c>
      <c r="D165" s="437">
        <v>0.0</v>
      </c>
      <c r="E165" s="95"/>
      <c r="F165" s="13"/>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3" t="s">
        <v>560</v>
      </c>
      <c r="C166" s="13">
        <v>5.0</v>
      </c>
      <c r="D166" s="437">
        <v>5.0</v>
      </c>
      <c r="F166" s="13"/>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3" t="s">
        <v>561</v>
      </c>
      <c r="C167" s="13">
        <v>25.0</v>
      </c>
      <c r="D167" s="437">
        <v>0.0</v>
      </c>
      <c r="F167" s="13"/>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t="s">
        <v>562</v>
      </c>
      <c r="C168" s="13">
        <v>18.0</v>
      </c>
      <c r="D168" s="437">
        <v>18.0</v>
      </c>
      <c r="F168" s="13"/>
      <c r="G168" s="13"/>
      <c r="H168" s="13"/>
      <c r="I168" s="13"/>
      <c r="J168" s="13"/>
      <c r="K168" s="375" t="s">
        <v>563</v>
      </c>
      <c r="L168" s="13"/>
      <c r="M168" s="13"/>
      <c r="N168" s="13"/>
      <c r="O168" s="13"/>
      <c r="P168" s="13"/>
      <c r="Q168" s="13"/>
      <c r="R168" s="13"/>
      <c r="S168" s="13"/>
      <c r="T168" s="13"/>
      <c r="U168" s="13"/>
      <c r="V168" s="13"/>
      <c r="W168" s="13"/>
      <c r="X168" s="13"/>
      <c r="Y168" s="13"/>
      <c r="Z168" s="13"/>
    </row>
    <row r="169" ht="15.75" customHeight="1">
      <c r="A169" s="13"/>
      <c r="B169" s="13" t="s">
        <v>564</v>
      </c>
      <c r="C169" s="13">
        <v>36.0</v>
      </c>
      <c r="D169" s="437">
        <f t="array" ref="D169">INDEX(M170:M176,MATCH(1,J170:J176,0))</f>
        <v>36</v>
      </c>
      <c r="E169" s="438">
        <f>C154*0.86/C125</f>
        <v>0.5515258768</v>
      </c>
      <c r="F169" s="439" t="s">
        <v>565</v>
      </c>
      <c r="G169" s="13"/>
      <c r="H169" s="13"/>
      <c r="I169" s="13"/>
      <c r="J169" s="440"/>
      <c r="K169" s="441" t="s">
        <v>566</v>
      </c>
      <c r="L169" s="442" t="s">
        <v>567</v>
      </c>
      <c r="M169" s="441" t="s">
        <v>568</v>
      </c>
      <c r="N169" s="13"/>
      <c r="O169" s="13"/>
      <c r="P169" s="13"/>
      <c r="Q169" s="13"/>
      <c r="R169" s="13"/>
      <c r="S169" s="13"/>
      <c r="T169" s="13"/>
      <c r="U169" s="13"/>
      <c r="V169" s="13"/>
      <c r="W169" s="13"/>
      <c r="X169" s="13"/>
      <c r="Y169" s="13"/>
      <c r="Z169" s="13"/>
    </row>
    <row r="170" ht="15.75" customHeight="1">
      <c r="A170" s="13"/>
      <c r="B170" s="13" t="s">
        <v>569</v>
      </c>
      <c r="C170" s="13">
        <v>3.0</v>
      </c>
      <c r="D170" s="437">
        <v>3.0</v>
      </c>
      <c r="F170" s="13"/>
      <c r="G170" s="13"/>
      <c r="H170" s="13"/>
      <c r="I170" s="13"/>
      <c r="J170" s="440">
        <f t="shared" ref="J170:J176" si="11">IF(AND($E$169&gt;K170,$E$169&lt;=L170),1,0)</f>
        <v>1</v>
      </c>
      <c r="K170" s="138">
        <v>0.0</v>
      </c>
      <c r="L170" s="443">
        <v>0.58</v>
      </c>
      <c r="M170" s="13">
        <v>36.0</v>
      </c>
      <c r="N170" s="13"/>
      <c r="O170" s="13"/>
      <c r="P170" s="13"/>
      <c r="Q170" s="13"/>
      <c r="R170" s="13"/>
      <c r="S170" s="13"/>
      <c r="T170" s="13"/>
      <c r="U170" s="13"/>
      <c r="V170" s="13"/>
      <c r="W170" s="13"/>
      <c r="X170" s="13"/>
      <c r="Y170" s="13"/>
      <c r="Z170" s="13"/>
    </row>
    <row r="171" ht="15.75" customHeight="1">
      <c r="A171" s="13"/>
      <c r="B171" s="13" t="s">
        <v>570</v>
      </c>
      <c r="C171" s="13">
        <v>8.0</v>
      </c>
      <c r="D171" s="437">
        <v>8.0</v>
      </c>
      <c r="F171" s="13"/>
      <c r="G171" s="13"/>
      <c r="H171" s="13"/>
      <c r="I171" s="13"/>
      <c r="J171" s="440">
        <f t="shared" si="11"/>
        <v>0</v>
      </c>
      <c r="K171" s="138">
        <f t="shared" ref="K171:K176" si="12">L170</f>
        <v>0.58</v>
      </c>
      <c r="L171" s="443">
        <v>0.61</v>
      </c>
      <c r="M171" s="13">
        <v>34.0</v>
      </c>
      <c r="N171" s="13"/>
      <c r="O171" s="13"/>
      <c r="P171" s="13"/>
      <c r="Q171" s="13"/>
      <c r="R171" s="13"/>
      <c r="S171" s="13"/>
      <c r="T171" s="13"/>
      <c r="U171" s="13"/>
      <c r="V171" s="13"/>
      <c r="W171" s="13"/>
      <c r="X171" s="13"/>
      <c r="Y171" s="13"/>
      <c r="Z171" s="13"/>
    </row>
    <row r="172" ht="15.75" customHeight="1">
      <c r="A172" s="13"/>
      <c r="B172" s="13" t="s">
        <v>571</v>
      </c>
      <c r="C172" s="13">
        <v>28.0</v>
      </c>
      <c r="D172" s="437">
        <v>18.0</v>
      </c>
      <c r="F172" s="13"/>
      <c r="G172" s="13"/>
      <c r="H172" s="13"/>
      <c r="I172" s="13"/>
      <c r="J172" s="440">
        <f t="shared" si="11"/>
        <v>0</v>
      </c>
      <c r="K172" s="138">
        <f t="shared" si="12"/>
        <v>0.61</v>
      </c>
      <c r="L172" s="443">
        <v>0.64</v>
      </c>
      <c r="M172" s="13">
        <v>32.0</v>
      </c>
      <c r="N172" s="13"/>
      <c r="O172" s="13"/>
      <c r="P172" s="13"/>
      <c r="Q172" s="13"/>
      <c r="R172" s="13"/>
      <c r="S172" s="13"/>
      <c r="T172" s="13"/>
      <c r="U172" s="13"/>
      <c r="V172" s="13"/>
      <c r="W172" s="13"/>
      <c r="X172" s="13"/>
      <c r="Y172" s="13"/>
      <c r="Z172" s="13"/>
    </row>
    <row r="173" ht="15.75" customHeight="1">
      <c r="A173" s="13"/>
      <c r="B173" s="13" t="s">
        <v>572</v>
      </c>
      <c r="C173" s="13">
        <v>8.0</v>
      </c>
      <c r="D173" s="437">
        <v>0.0</v>
      </c>
      <c r="F173" s="13"/>
      <c r="G173" s="13"/>
      <c r="H173" s="13"/>
      <c r="I173" s="13"/>
      <c r="J173" s="440">
        <f t="shared" si="11"/>
        <v>0</v>
      </c>
      <c r="K173" s="138">
        <f t="shared" si="12"/>
        <v>0.64</v>
      </c>
      <c r="L173" s="443">
        <v>0.67</v>
      </c>
      <c r="M173" s="13">
        <v>30.0</v>
      </c>
      <c r="N173" s="13"/>
      <c r="O173" s="13"/>
      <c r="P173" s="13"/>
      <c r="Q173" s="13"/>
      <c r="R173" s="13"/>
      <c r="S173" s="13"/>
      <c r="T173" s="13"/>
      <c r="U173" s="13"/>
      <c r="V173" s="13"/>
      <c r="W173" s="13"/>
      <c r="X173" s="13"/>
      <c r="Y173" s="13"/>
      <c r="Z173" s="13"/>
    </row>
    <row r="174" ht="15.75" customHeight="1">
      <c r="A174" s="13"/>
      <c r="B174" s="13" t="s">
        <v>573</v>
      </c>
      <c r="C174" s="13">
        <v>12.0</v>
      </c>
      <c r="D174" s="437">
        <v>10.0</v>
      </c>
      <c r="F174" s="13"/>
      <c r="G174" s="13"/>
      <c r="H174" s="13"/>
      <c r="I174" s="13"/>
      <c r="J174" s="440">
        <f t="shared" si="11"/>
        <v>0</v>
      </c>
      <c r="K174" s="138">
        <f t="shared" si="12"/>
        <v>0.67</v>
      </c>
      <c r="L174" s="443">
        <v>0.7</v>
      </c>
      <c r="M174" s="13">
        <v>28.0</v>
      </c>
      <c r="N174" s="13"/>
      <c r="O174" s="13"/>
      <c r="P174" s="13"/>
      <c r="Q174" s="13"/>
      <c r="R174" s="13"/>
      <c r="S174" s="13"/>
      <c r="T174" s="13"/>
      <c r="U174" s="13"/>
      <c r="V174" s="13"/>
      <c r="W174" s="13"/>
      <c r="X174" s="13"/>
      <c r="Y174" s="13"/>
      <c r="Z174" s="13"/>
    </row>
    <row r="175" ht="15.75" customHeight="1">
      <c r="A175" s="13"/>
      <c r="B175" s="182" t="s">
        <v>574</v>
      </c>
      <c r="C175" s="182">
        <v>5.0</v>
      </c>
      <c r="D175" s="444">
        <v>5.0</v>
      </c>
      <c r="F175" s="13"/>
      <c r="G175" s="13"/>
      <c r="H175" s="13"/>
      <c r="I175" s="13"/>
      <c r="J175" s="440">
        <f t="shared" si="11"/>
        <v>0</v>
      </c>
      <c r="K175" s="138">
        <f t="shared" si="12"/>
        <v>0.7</v>
      </c>
      <c r="L175" s="443">
        <v>0.73</v>
      </c>
      <c r="M175" s="13">
        <v>26.0</v>
      </c>
      <c r="N175" s="13"/>
      <c r="O175" s="13"/>
      <c r="P175" s="13"/>
      <c r="Q175" s="13"/>
      <c r="R175" s="13"/>
      <c r="S175" s="13"/>
      <c r="T175" s="13"/>
      <c r="U175" s="13"/>
      <c r="V175" s="13"/>
      <c r="W175" s="13"/>
      <c r="X175" s="13"/>
      <c r="Y175" s="13"/>
      <c r="Z175" s="13"/>
    </row>
    <row r="176" ht="15.75" customHeight="1">
      <c r="A176" s="13"/>
      <c r="B176" s="15" t="s">
        <v>407</v>
      </c>
      <c r="C176" s="13">
        <f t="shared" ref="C176:D176" si="13">SUM(C160:C175)</f>
        <v>273</v>
      </c>
      <c r="D176" s="15">
        <f t="shared" si="13"/>
        <v>201</v>
      </c>
      <c r="F176" s="13"/>
      <c r="G176" s="13"/>
      <c r="H176" s="13"/>
      <c r="I176" s="13"/>
      <c r="J176" s="440">
        <f t="shared" si="11"/>
        <v>0</v>
      </c>
      <c r="K176" s="138">
        <f t="shared" si="12"/>
        <v>0.73</v>
      </c>
      <c r="L176" s="443">
        <v>1.0</v>
      </c>
      <c r="M176" s="13">
        <v>0.0</v>
      </c>
      <c r="N176" s="13"/>
      <c r="O176" s="13"/>
      <c r="P176" s="13"/>
      <c r="Q176" s="13"/>
      <c r="R176" s="13"/>
      <c r="S176" s="13"/>
      <c r="T176" s="13"/>
      <c r="U176" s="13"/>
      <c r="V176" s="13"/>
      <c r="W176" s="13"/>
      <c r="X176" s="13"/>
      <c r="Y176" s="13"/>
      <c r="Z176" s="13"/>
    </row>
    <row r="177" ht="15.75" customHeight="1">
      <c r="A177" s="13"/>
      <c r="B177" s="95" t="s">
        <v>575</v>
      </c>
      <c r="C177" s="95">
        <v>120.0</v>
      </c>
      <c r="D177" s="445" t="str">
        <f>IF(D176&gt;=C177,"Threshold Hit","Below Threshold")</f>
        <v>Threshold Hit</v>
      </c>
      <c r="E177" s="13"/>
      <c r="F177" s="13"/>
      <c r="G177" s="13"/>
      <c r="H177" s="13"/>
      <c r="I177" s="13"/>
      <c r="J177" s="13"/>
      <c r="K177" s="138"/>
      <c r="L177" s="13"/>
      <c r="M177" s="13"/>
      <c r="N177" s="13"/>
      <c r="O177" s="13"/>
      <c r="P177" s="13"/>
      <c r="Q177" s="13"/>
      <c r="R177" s="13"/>
      <c r="S177" s="13"/>
      <c r="T177" s="13"/>
      <c r="U177" s="13"/>
      <c r="V177" s="13"/>
      <c r="W177" s="13"/>
      <c r="X177" s="13"/>
      <c r="Y177" s="13"/>
      <c r="Z177" s="13"/>
    </row>
    <row r="178" ht="15.75" customHeight="1">
      <c r="A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D180" s="58"/>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F181" s="13"/>
      <c r="G181" s="13"/>
      <c r="H181" s="13"/>
      <c r="I181" s="13"/>
      <c r="J181" s="13"/>
      <c r="N181" s="13"/>
      <c r="O181" s="13"/>
      <c r="P181" s="13"/>
      <c r="Q181" s="13"/>
      <c r="R181" s="13"/>
      <c r="S181" s="13"/>
      <c r="T181" s="13"/>
      <c r="U181" s="13"/>
      <c r="V181" s="13"/>
      <c r="W181" s="13"/>
      <c r="X181" s="13"/>
      <c r="Y181" s="13"/>
      <c r="Z181" s="13"/>
    </row>
    <row r="182" ht="15.75" customHeight="1">
      <c r="A182" s="13"/>
      <c r="B182" s="13"/>
      <c r="F182" s="13"/>
      <c r="G182" s="13"/>
      <c r="H182" s="13"/>
      <c r="I182" s="13"/>
      <c r="J182" s="13"/>
      <c r="N182" s="13"/>
      <c r="O182" s="13"/>
      <c r="P182" s="13"/>
      <c r="Q182" s="13"/>
      <c r="R182" s="13"/>
      <c r="S182" s="13"/>
      <c r="T182" s="13"/>
      <c r="U182" s="13"/>
      <c r="V182" s="13"/>
      <c r="W182" s="13"/>
      <c r="X182" s="13"/>
      <c r="Y182" s="13"/>
      <c r="Z182" s="13"/>
    </row>
    <row r="183" ht="15.75" customHeight="1">
      <c r="A183" s="13"/>
      <c r="B183" s="13"/>
      <c r="C183" s="34"/>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34"/>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34"/>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34"/>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34"/>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34"/>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34"/>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34"/>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34"/>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34"/>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34"/>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34"/>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34"/>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34"/>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34"/>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34"/>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34"/>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34"/>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34"/>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34"/>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34"/>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34"/>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34"/>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34"/>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34"/>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34"/>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34"/>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34"/>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34"/>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34"/>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34"/>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34"/>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34"/>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34"/>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34"/>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34"/>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34"/>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34"/>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5.75" customHeight="1">
      <c r="A221" s="13"/>
      <c r="B221" s="13"/>
      <c r="C221" s="34"/>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5.75" customHeight="1">
      <c r="A222" s="13"/>
      <c r="B222" s="13"/>
      <c r="C222" s="34"/>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5.75" customHeight="1">
      <c r="A223" s="13"/>
      <c r="B223" s="13"/>
      <c r="C223" s="34"/>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5.75" customHeight="1">
      <c r="A224" s="13"/>
      <c r="B224" s="13"/>
      <c r="C224" s="34"/>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5.75" customHeight="1">
      <c r="A225" s="13"/>
      <c r="B225" s="13"/>
      <c r="C225" s="34"/>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5.75" customHeight="1">
      <c r="A226" s="13"/>
      <c r="B226" s="13"/>
      <c r="C226" s="34"/>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5.75" customHeight="1">
      <c r="A227" s="13"/>
      <c r="B227" s="13"/>
      <c r="C227" s="34"/>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5.75" customHeight="1">
      <c r="A228" s="13"/>
      <c r="B228" s="13"/>
      <c r="C228" s="34"/>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5.75" customHeight="1">
      <c r="A229" s="13"/>
      <c r="B229" s="13"/>
      <c r="C229" s="34"/>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5.75" customHeight="1">
      <c r="A230" s="13"/>
      <c r="B230" s="13"/>
      <c r="C230" s="34"/>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5.75" customHeight="1">
      <c r="A231" s="13"/>
      <c r="B231" s="13"/>
      <c r="C231" s="34"/>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5.75" customHeight="1">
      <c r="A232" s="13"/>
      <c r="B232" s="13"/>
      <c r="C232" s="34"/>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5.75" customHeight="1">
      <c r="A233" s="13"/>
      <c r="B233" s="13"/>
      <c r="C233" s="34"/>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5.75" customHeight="1">
      <c r="A234" s="13"/>
      <c r="B234" s="13"/>
      <c r="C234" s="34"/>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5.75" customHeight="1">
      <c r="A235" s="13"/>
      <c r="B235" s="13"/>
      <c r="C235" s="34"/>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5.75" customHeight="1">
      <c r="A236" s="13"/>
      <c r="B236" s="13"/>
      <c r="C236" s="34"/>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5.75" customHeight="1">
      <c r="A237" s="13"/>
      <c r="B237" s="13"/>
      <c r="C237" s="34"/>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5.75" customHeight="1">
      <c r="A238" s="13"/>
      <c r="B238" s="13"/>
      <c r="C238" s="34"/>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5.75" customHeight="1">
      <c r="A239" s="13"/>
      <c r="B239" s="13"/>
      <c r="C239" s="34"/>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5.75" customHeight="1">
      <c r="A240" s="13"/>
      <c r="B240" s="13"/>
      <c r="C240" s="34"/>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5.75" customHeight="1">
      <c r="A241" s="13"/>
      <c r="B241" s="13"/>
      <c r="C241" s="34"/>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5.75" customHeight="1">
      <c r="A242" s="13"/>
      <c r="B242" s="13"/>
      <c r="C242" s="34"/>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5.75" customHeight="1">
      <c r="A243" s="13"/>
      <c r="B243" s="13"/>
      <c r="C243" s="34"/>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5.75" customHeight="1">
      <c r="A244" s="13"/>
      <c r="B244" s="13"/>
      <c r="C244" s="34"/>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5.75" customHeight="1">
      <c r="A245" s="13"/>
      <c r="B245" s="13"/>
      <c r="C245" s="34"/>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5.75" customHeight="1">
      <c r="A246" s="13"/>
      <c r="B246" s="13"/>
      <c r="C246" s="34"/>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5.75" customHeight="1">
      <c r="A247" s="13"/>
      <c r="B247" s="13"/>
      <c r="C247" s="34"/>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5.75" customHeight="1">
      <c r="A248" s="13"/>
      <c r="B248" s="13"/>
      <c r="C248" s="34"/>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5.75" customHeight="1">
      <c r="A249" s="13"/>
      <c r="B249" s="13"/>
      <c r="C249" s="34"/>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5.75" customHeight="1">
      <c r="A250" s="13"/>
      <c r="B250" s="13"/>
      <c r="C250" s="34"/>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5.75" customHeight="1">
      <c r="A251" s="13"/>
      <c r="B251" s="13"/>
      <c r="C251" s="34"/>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5.75" customHeight="1">
      <c r="A252" s="13"/>
      <c r="B252" s="13"/>
      <c r="C252" s="34"/>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5.75" customHeight="1">
      <c r="A253" s="13"/>
      <c r="B253" s="13"/>
      <c r="C253" s="34"/>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5.75" customHeight="1">
      <c r="A254" s="13"/>
      <c r="B254" s="13"/>
      <c r="C254" s="34"/>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5.75" customHeight="1">
      <c r="A255" s="13"/>
      <c r="B255" s="13"/>
      <c r="C255" s="34"/>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5.75" customHeight="1">
      <c r="A256" s="13"/>
      <c r="B256" s="13"/>
      <c r="C256" s="34"/>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5.75" customHeight="1">
      <c r="A257" s="13"/>
      <c r="B257" s="13"/>
      <c r="C257" s="34"/>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5.75" customHeight="1">
      <c r="A258" s="13"/>
      <c r="B258" s="13"/>
      <c r="C258" s="34"/>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5.75" customHeight="1">
      <c r="A259" s="13"/>
      <c r="B259" s="13"/>
      <c r="C259" s="34"/>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5.75" customHeight="1">
      <c r="A260" s="13"/>
      <c r="B260" s="13"/>
      <c r="C260" s="34"/>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5.75" customHeight="1">
      <c r="A261" s="13"/>
      <c r="B261" s="13"/>
      <c r="C261" s="34"/>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5.75" customHeight="1">
      <c r="A262" s="13"/>
      <c r="B262" s="13"/>
      <c r="C262" s="34"/>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5.75" customHeight="1">
      <c r="A263" s="13"/>
      <c r="B263" s="13"/>
      <c r="C263" s="34"/>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5.75" customHeight="1">
      <c r="A264" s="13"/>
      <c r="B264" s="13"/>
      <c r="C264" s="34"/>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5.75" customHeight="1">
      <c r="A265" s="13"/>
      <c r="B265" s="13"/>
      <c r="C265" s="34"/>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5.75" customHeight="1">
      <c r="A266" s="13"/>
      <c r="B266" s="13"/>
      <c r="C266" s="34"/>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5.75" customHeight="1">
      <c r="A267" s="13"/>
      <c r="B267" s="13"/>
      <c r="C267" s="34"/>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5.75" customHeight="1">
      <c r="A268" s="13"/>
      <c r="B268" s="13"/>
      <c r="C268" s="34"/>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5.75" customHeight="1">
      <c r="A269" s="13"/>
      <c r="B269" s="13"/>
      <c r="C269" s="34"/>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5.75" customHeight="1">
      <c r="A270" s="13"/>
      <c r="B270" s="13"/>
      <c r="C270" s="34"/>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5.75" customHeight="1">
      <c r="A271" s="13"/>
      <c r="B271" s="13"/>
      <c r="C271" s="34"/>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5.75" customHeight="1">
      <c r="A272" s="13"/>
      <c r="B272" s="13"/>
      <c r="C272" s="34"/>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5.75" customHeight="1">
      <c r="A273" s="13"/>
      <c r="B273" s="13"/>
      <c r="C273" s="34"/>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5.75" customHeight="1">
      <c r="A274" s="13"/>
      <c r="B274" s="13"/>
      <c r="C274" s="34"/>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5.75" customHeight="1">
      <c r="A275" s="13"/>
      <c r="B275" s="13"/>
      <c r="C275" s="34"/>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5.75" customHeight="1">
      <c r="A276" s="13"/>
      <c r="B276" s="13"/>
      <c r="C276" s="34"/>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5.75" customHeight="1">
      <c r="A277" s="13"/>
      <c r="B277" s="13"/>
      <c r="C277" s="34"/>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5.75" customHeight="1">
      <c r="A278" s="13"/>
      <c r="B278" s="13"/>
      <c r="C278" s="34"/>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5.75" customHeight="1">
      <c r="A279" s="13"/>
      <c r="B279" s="13"/>
      <c r="C279" s="34"/>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5.75" customHeight="1">
      <c r="A280" s="13"/>
      <c r="B280" s="13"/>
      <c r="C280" s="34"/>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5.75" customHeight="1">
      <c r="A281" s="13"/>
      <c r="B281" s="13"/>
      <c r="C281" s="34"/>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5.75" customHeight="1">
      <c r="A282" s="13"/>
      <c r="B282" s="13"/>
      <c r="C282" s="34"/>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5.75" customHeight="1">
      <c r="A283" s="13"/>
      <c r="B283" s="13"/>
      <c r="C283" s="34"/>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5.75" customHeight="1">
      <c r="A284" s="13"/>
      <c r="B284" s="13"/>
      <c r="C284" s="34"/>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5.75" customHeight="1">
      <c r="A285" s="13"/>
      <c r="B285" s="13"/>
      <c r="C285" s="34"/>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5.75" customHeight="1">
      <c r="A286" s="13"/>
      <c r="B286" s="13"/>
      <c r="C286" s="34"/>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5.75" customHeight="1">
      <c r="A287" s="13"/>
      <c r="B287" s="13"/>
      <c r="C287" s="34"/>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5.75" customHeight="1">
      <c r="A288" s="13"/>
      <c r="B288" s="13"/>
      <c r="C288" s="34"/>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5.75" customHeight="1">
      <c r="A289" s="13"/>
      <c r="B289" s="13"/>
      <c r="C289" s="34"/>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5.75" customHeight="1">
      <c r="A290" s="13"/>
      <c r="B290" s="13"/>
      <c r="C290" s="34"/>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5.75" customHeight="1">
      <c r="A291" s="13"/>
      <c r="B291" s="13"/>
      <c r="C291" s="34"/>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5.75" customHeight="1">
      <c r="A292" s="13"/>
      <c r="B292" s="13"/>
      <c r="C292" s="34"/>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5.75" customHeight="1">
      <c r="A293" s="13"/>
      <c r="B293" s="13"/>
      <c r="C293" s="34"/>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5.75" customHeight="1">
      <c r="A294" s="13"/>
      <c r="B294" s="13"/>
      <c r="C294" s="34"/>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5.75" customHeight="1">
      <c r="A295" s="13"/>
      <c r="B295" s="13"/>
      <c r="C295" s="34"/>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5.75" customHeight="1">
      <c r="A296" s="13"/>
      <c r="B296" s="13"/>
      <c r="C296" s="34"/>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5.75" customHeight="1">
      <c r="A297" s="13"/>
      <c r="B297" s="13"/>
      <c r="C297" s="34"/>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5.75" customHeight="1">
      <c r="A298" s="13"/>
      <c r="B298" s="13"/>
      <c r="C298" s="34"/>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5.75" customHeight="1">
      <c r="A299" s="13"/>
      <c r="B299" s="13"/>
      <c r="C299" s="34"/>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5.75" customHeight="1">
      <c r="A300" s="13"/>
      <c r="B300" s="13"/>
      <c r="C300" s="34"/>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5.75" customHeight="1">
      <c r="A301" s="13"/>
      <c r="B301" s="13"/>
      <c r="C301" s="34"/>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5.75" customHeight="1">
      <c r="A302" s="13"/>
      <c r="B302" s="13"/>
      <c r="C302" s="34"/>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5.75" customHeight="1">
      <c r="A303" s="13"/>
      <c r="B303" s="13"/>
      <c r="C303" s="34"/>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5.75" customHeight="1">
      <c r="A304" s="13"/>
      <c r="B304" s="13"/>
      <c r="C304" s="34"/>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5.75" customHeight="1">
      <c r="A305" s="13"/>
      <c r="B305" s="13"/>
      <c r="C305" s="34"/>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5.75" customHeight="1">
      <c r="A306" s="13"/>
      <c r="B306" s="13"/>
      <c r="C306" s="34"/>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5.75" customHeight="1">
      <c r="A307" s="13"/>
      <c r="B307" s="13"/>
      <c r="C307" s="34"/>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5.75" customHeight="1">
      <c r="A308" s="13"/>
      <c r="B308" s="13"/>
      <c r="C308" s="34"/>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5.75" customHeight="1">
      <c r="A309" s="13"/>
      <c r="B309" s="13"/>
      <c r="C309" s="34"/>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5.75" customHeight="1">
      <c r="A310" s="13"/>
      <c r="B310" s="13"/>
      <c r="C310" s="34"/>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5.75" customHeight="1">
      <c r="A311" s="13"/>
      <c r="B311" s="13"/>
      <c r="C311" s="34"/>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5.75" customHeight="1">
      <c r="A312" s="13"/>
      <c r="B312" s="13"/>
      <c r="C312" s="34"/>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5.75" customHeight="1">
      <c r="A313" s="13"/>
      <c r="B313" s="13"/>
      <c r="C313" s="34"/>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5.75" customHeight="1">
      <c r="A314" s="13"/>
      <c r="B314" s="13"/>
      <c r="C314" s="34"/>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5.75" customHeight="1">
      <c r="A315" s="13"/>
      <c r="B315" s="13"/>
      <c r="C315" s="34"/>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5.75" customHeight="1">
      <c r="A316" s="13"/>
      <c r="B316" s="13"/>
      <c r="C316" s="34"/>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5.75" customHeight="1">
      <c r="A317" s="13"/>
      <c r="B317" s="13"/>
      <c r="C317" s="34"/>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5.75" customHeight="1">
      <c r="A318" s="13"/>
      <c r="B318" s="13"/>
      <c r="C318" s="34"/>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5.75" customHeight="1">
      <c r="A319" s="13"/>
      <c r="B319" s="13"/>
      <c r="C319" s="34"/>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5.75" customHeight="1">
      <c r="A320" s="13"/>
      <c r="B320" s="13"/>
      <c r="C320" s="34"/>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5.75" customHeight="1">
      <c r="A321" s="13"/>
      <c r="B321" s="13"/>
      <c r="C321" s="34"/>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5.75" customHeight="1">
      <c r="A322" s="13"/>
      <c r="B322" s="13"/>
      <c r="C322" s="34"/>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5.75" customHeight="1">
      <c r="A323" s="13"/>
      <c r="B323" s="13"/>
      <c r="C323" s="34"/>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5.75" customHeight="1">
      <c r="A324" s="13"/>
      <c r="B324" s="13"/>
      <c r="C324" s="34"/>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5.75" customHeight="1">
      <c r="A325" s="13"/>
      <c r="B325" s="13"/>
      <c r="C325" s="34"/>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5.75" customHeight="1">
      <c r="A326" s="13"/>
      <c r="B326" s="13"/>
      <c r="C326" s="34"/>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5.75" customHeight="1">
      <c r="A327" s="13"/>
      <c r="B327" s="13"/>
      <c r="C327" s="34"/>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5.75" customHeight="1">
      <c r="A328" s="13"/>
      <c r="B328" s="13"/>
      <c r="C328" s="34"/>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5.75" customHeight="1">
      <c r="A329" s="13"/>
      <c r="B329" s="13"/>
      <c r="C329" s="34"/>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5.75" customHeight="1">
      <c r="A330" s="13"/>
      <c r="B330" s="13"/>
      <c r="C330" s="34"/>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5.75" customHeight="1">
      <c r="A331" s="13"/>
      <c r="B331" s="13"/>
      <c r="C331" s="34"/>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5.75" customHeight="1">
      <c r="A332" s="13"/>
      <c r="B332" s="13"/>
      <c r="C332" s="34"/>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5.75" customHeight="1">
      <c r="A333" s="13"/>
      <c r="B333" s="13"/>
      <c r="C333" s="34"/>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5.75" customHeight="1">
      <c r="A334" s="13"/>
      <c r="B334" s="13"/>
      <c r="C334" s="34"/>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5.75" customHeight="1">
      <c r="A335" s="13"/>
      <c r="B335" s="13"/>
      <c r="C335" s="34"/>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5.75" customHeight="1">
      <c r="A336" s="13"/>
      <c r="B336" s="13"/>
      <c r="C336" s="34"/>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5.75" customHeight="1">
      <c r="A337" s="13"/>
      <c r="B337" s="13"/>
      <c r="C337" s="34"/>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5.75" customHeight="1">
      <c r="A338" s="13"/>
      <c r="B338" s="13"/>
      <c r="C338" s="34"/>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5.75" customHeight="1">
      <c r="A339" s="13"/>
      <c r="B339" s="13"/>
      <c r="C339" s="34"/>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5.75" customHeight="1">
      <c r="A340" s="13"/>
      <c r="B340" s="13"/>
      <c r="C340" s="34"/>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5.75" customHeight="1">
      <c r="A341" s="13"/>
      <c r="B341" s="13"/>
      <c r="C341" s="34"/>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5.75" customHeight="1">
      <c r="A342" s="13"/>
      <c r="B342" s="13"/>
      <c r="C342" s="34"/>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5.75" customHeight="1">
      <c r="A343" s="13"/>
      <c r="B343" s="13"/>
      <c r="C343" s="34"/>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5.75" customHeight="1">
      <c r="A344" s="13"/>
      <c r="B344" s="13"/>
      <c r="C344" s="34"/>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5.75" customHeight="1">
      <c r="A345" s="13"/>
      <c r="B345" s="13"/>
      <c r="C345" s="34"/>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5.75" customHeight="1">
      <c r="A346" s="13"/>
      <c r="B346" s="13"/>
      <c r="C346" s="34"/>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5.75" customHeight="1">
      <c r="A347" s="13"/>
      <c r="B347" s="13"/>
      <c r="C347" s="34"/>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5.75" customHeight="1">
      <c r="A348" s="13"/>
      <c r="B348" s="13"/>
      <c r="C348" s="34"/>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5.75" customHeight="1">
      <c r="A349" s="13"/>
      <c r="B349" s="13"/>
      <c r="C349" s="34"/>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5.75" customHeight="1">
      <c r="A350" s="13"/>
      <c r="B350" s="13"/>
      <c r="C350" s="34"/>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5.75" customHeight="1">
      <c r="A351" s="13"/>
      <c r="B351" s="13"/>
      <c r="C351" s="34"/>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5.75" customHeight="1">
      <c r="A352" s="13"/>
      <c r="B352" s="13"/>
      <c r="C352" s="34"/>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5.75" customHeight="1">
      <c r="A353" s="13"/>
      <c r="B353" s="13"/>
      <c r="C353" s="34"/>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5.75" customHeight="1">
      <c r="A354" s="13"/>
      <c r="B354" s="13"/>
      <c r="C354" s="34"/>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5.75" customHeight="1">
      <c r="A355" s="13"/>
      <c r="B355" s="13"/>
      <c r="C355" s="34"/>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5.75" customHeight="1">
      <c r="A356" s="13"/>
      <c r="B356" s="13"/>
      <c r="C356" s="34"/>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5.75" customHeight="1">
      <c r="A357" s="13"/>
      <c r="B357" s="13"/>
      <c r="C357" s="34"/>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5.75" customHeight="1">
      <c r="A358" s="13"/>
      <c r="B358" s="13"/>
      <c r="C358" s="34"/>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5.75" customHeight="1">
      <c r="A359" s="13"/>
      <c r="B359" s="13"/>
      <c r="C359" s="34"/>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5.75" customHeight="1">
      <c r="A360" s="13"/>
      <c r="B360" s="13"/>
      <c r="C360" s="34"/>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5.75" customHeight="1">
      <c r="A361" s="13"/>
      <c r="B361" s="13"/>
      <c r="C361" s="34"/>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5.75" customHeight="1">
      <c r="A362" s="13"/>
      <c r="B362" s="13"/>
      <c r="C362" s="34"/>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5.75" customHeight="1">
      <c r="A363" s="13"/>
      <c r="B363" s="13"/>
      <c r="C363" s="34"/>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5.75" customHeight="1">
      <c r="A364" s="13"/>
      <c r="B364" s="13"/>
      <c r="C364" s="34"/>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5.75" customHeight="1">
      <c r="A365" s="13"/>
      <c r="B365" s="13"/>
      <c r="C365" s="34"/>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5.75" customHeight="1">
      <c r="A366" s="13"/>
      <c r="B366" s="13"/>
      <c r="C366" s="34"/>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5.75" customHeight="1">
      <c r="A367" s="13"/>
      <c r="B367" s="13"/>
      <c r="C367" s="34"/>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5.75" customHeight="1">
      <c r="A368" s="13"/>
      <c r="B368" s="13"/>
      <c r="C368" s="34"/>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ht="15.75" customHeight="1">
      <c r="A369" s="13"/>
      <c r="B369" s="13"/>
      <c r="C369" s="34"/>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ht="15.75" customHeight="1">
      <c r="A370" s="13"/>
      <c r="B370" s="13"/>
      <c r="C370" s="34"/>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ht="15.75" customHeight="1">
      <c r="A371" s="13"/>
      <c r="B371" s="13"/>
      <c r="C371" s="34"/>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ht="15.75" customHeight="1">
      <c r="A372" s="13"/>
      <c r="B372" s="13"/>
      <c r="C372" s="34"/>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ht="15.75" customHeight="1">
      <c r="A373" s="13"/>
      <c r="B373" s="13"/>
      <c r="C373" s="34"/>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ht="15.75" customHeight="1">
      <c r="A374" s="13"/>
      <c r="B374" s="13"/>
      <c r="C374" s="34"/>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ht="15.75" customHeight="1">
      <c r="A375" s="13"/>
      <c r="B375" s="13"/>
      <c r="C375" s="34"/>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ht="15.75" customHeight="1">
      <c r="A376" s="13"/>
      <c r="B376" s="13"/>
      <c r="C376" s="34"/>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ht="15.75" customHeight="1">
      <c r="A377" s="13"/>
      <c r="B377" s="13"/>
      <c r="C377" s="34"/>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F136:F140"/>
    <mergeCell ref="B157:G157"/>
    <mergeCell ref="B2:G2"/>
    <mergeCell ref="B4:C4"/>
    <mergeCell ref="D4:E4"/>
    <mergeCell ref="B17:G17"/>
    <mergeCell ref="B36:G36"/>
    <mergeCell ref="B127:J127"/>
    <mergeCell ref="B129:G129"/>
  </mergeCells>
  <conditionalFormatting sqref="D177">
    <cfRule type="expression" dxfId="1" priority="1">
      <formula>$D$177="Threshold Hit"</formula>
    </cfRule>
  </conditionalFormatting>
  <conditionalFormatting sqref="D177">
    <cfRule type="expression" dxfId="0" priority="2">
      <formula>$D$177="Below Threshold"</formula>
    </cfRule>
  </conditionalFormatting>
  <conditionalFormatting sqref="G15">
    <cfRule type="expression" dxfId="1" priority="3">
      <formula>ABS($G$15)&lt;1</formula>
    </cfRule>
  </conditionalFormatting>
  <conditionalFormatting sqref="G15">
    <cfRule type="expression" dxfId="2" priority="4">
      <formula>$G$15&gt;1</formula>
    </cfRule>
  </conditionalFormatting>
  <conditionalFormatting sqref="G15">
    <cfRule type="expression" dxfId="0" priority="5">
      <formula>$G$15&lt;-1</formula>
    </cfRule>
  </conditionalFormatting>
  <dataValidations>
    <dataValidation type="list" allowBlank="1" showErrorMessage="1" sqref="G136">
      <formula1>'Data Validation'!$B$3:$B$4</formula1>
    </dataValidation>
    <dataValidation type="list" allowBlank="1" showErrorMessage="1" sqref="C20:C29">
      <formula1>'Data Validation'!$D$3:$D$9</formula1>
    </dataValidation>
    <dataValidation type="list" allowBlank="1" showErrorMessage="1" sqref="C31">
      <formula1>"Hard Debt,Soft Debt,Other"</formula1>
    </dataValidation>
  </dataValidations>
  <printOptions/>
  <pageMargins bottom="0.75" footer="0.0" header="0.0" left="0.7" right="0.7" top="0.75"/>
  <pageSetup orientation="portrait"/>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E598"/>
    <pageSetUpPr/>
  </sheetPr>
  <sheetViews>
    <sheetView workbookViewId="0"/>
  </sheetViews>
  <sheetFormatPr customHeight="1" defaultColWidth="12.63" defaultRowHeight="15.0"/>
  <cols>
    <col customWidth="1" min="1" max="1" width="2.63"/>
    <col customWidth="1" min="2" max="2" width="32.13"/>
    <col customWidth="1" min="3" max="3" width="13.5"/>
    <col customWidth="1" min="4" max="6" width="13.38"/>
    <col customWidth="1" min="8" max="8" width="12.13"/>
    <col customWidth="1" min="9" max="11" width="13.38"/>
    <col customWidth="1" min="12" max="26" width="8.0"/>
  </cols>
  <sheetData>
    <row r="1" ht="9.0" customHeight="1">
      <c r="A1" s="13"/>
      <c r="B1" s="13"/>
      <c r="C1" s="13"/>
      <c r="D1" s="13"/>
      <c r="E1" s="13"/>
      <c r="F1" s="13"/>
      <c r="G1" s="13"/>
      <c r="H1" s="13"/>
      <c r="I1" s="13"/>
      <c r="J1" s="13"/>
      <c r="K1" s="13"/>
      <c r="L1" s="13"/>
      <c r="M1" s="13"/>
      <c r="N1" s="13"/>
      <c r="O1" s="13"/>
      <c r="P1" s="13"/>
      <c r="Q1" s="13"/>
      <c r="R1" s="13"/>
      <c r="S1" s="13"/>
      <c r="T1" s="13"/>
      <c r="U1" s="13"/>
      <c r="V1" s="13"/>
      <c r="W1" s="13"/>
      <c r="X1" s="13"/>
      <c r="Y1" s="13"/>
      <c r="Z1" s="13"/>
    </row>
    <row r="2">
      <c r="A2" s="13"/>
      <c r="B2" s="36" t="s">
        <v>180</v>
      </c>
      <c r="C2" s="37"/>
      <c r="D2" s="37"/>
      <c r="E2" s="37"/>
      <c r="F2" s="37"/>
      <c r="G2" s="37"/>
      <c r="H2" s="37"/>
      <c r="I2" s="199"/>
      <c r="J2" s="199"/>
      <c r="K2" s="13"/>
      <c r="L2" s="13"/>
      <c r="M2" s="13"/>
      <c r="N2" s="13"/>
      <c r="O2" s="13"/>
      <c r="P2" s="13"/>
      <c r="Q2" s="13"/>
      <c r="R2" s="13"/>
      <c r="S2" s="13"/>
      <c r="T2" s="13"/>
      <c r="U2" s="13"/>
      <c r="V2" s="13"/>
      <c r="W2" s="13"/>
      <c r="X2" s="13"/>
      <c r="Y2" s="13"/>
      <c r="Z2" s="13"/>
    </row>
    <row r="3">
      <c r="A3" s="13"/>
      <c r="B3" s="200"/>
      <c r="C3" s="200"/>
      <c r="D3" s="200"/>
      <c r="E3" s="200"/>
      <c r="F3" s="200"/>
      <c r="G3" s="200"/>
      <c r="H3" s="200"/>
      <c r="I3" s="199"/>
      <c r="J3" s="199"/>
      <c r="K3" s="13"/>
      <c r="L3" s="13"/>
      <c r="M3" s="13"/>
      <c r="N3" s="13"/>
      <c r="O3" s="13"/>
      <c r="P3" s="13"/>
      <c r="Q3" s="13"/>
      <c r="R3" s="13"/>
      <c r="S3" s="13"/>
      <c r="T3" s="13"/>
      <c r="U3" s="13"/>
      <c r="V3" s="13"/>
      <c r="W3" s="13"/>
      <c r="X3" s="13"/>
      <c r="Y3" s="13"/>
      <c r="Z3" s="13"/>
    </row>
    <row r="4">
      <c r="A4" s="13"/>
      <c r="B4" s="201" t="s">
        <v>181</v>
      </c>
      <c r="C4" s="143">
        <f>egi_three_rto</f>
        <v>654835.32</v>
      </c>
      <c r="D4" s="200"/>
      <c r="E4" s="200"/>
      <c r="F4" s="200"/>
      <c r="G4" s="39" t="s">
        <v>44</v>
      </c>
      <c r="H4" s="39"/>
      <c r="I4" s="199"/>
      <c r="J4" s="199"/>
      <c r="K4" s="13"/>
      <c r="L4" s="13"/>
      <c r="M4" s="13"/>
      <c r="N4" s="13"/>
      <c r="O4" s="13"/>
      <c r="P4" s="13"/>
      <c r="Q4" s="13"/>
      <c r="R4" s="13"/>
      <c r="S4" s="13"/>
      <c r="T4" s="13"/>
      <c r="U4" s="13"/>
      <c r="V4" s="13"/>
      <c r="W4" s="13"/>
      <c r="X4" s="13"/>
      <c r="Y4" s="13"/>
      <c r="Z4" s="13"/>
    </row>
    <row r="5">
      <c r="A5" s="13"/>
      <c r="B5" s="202" t="s">
        <v>182</v>
      </c>
      <c r="C5" s="203">
        <f>totalopex_three_rto</f>
        <v>446611.1357</v>
      </c>
      <c r="D5" s="200"/>
      <c r="E5" s="200"/>
      <c r="F5" s="200"/>
      <c r="G5" s="200"/>
      <c r="H5" s="200"/>
      <c r="I5" s="199"/>
      <c r="J5" s="199"/>
      <c r="K5" s="13"/>
      <c r="L5" s="13"/>
      <c r="M5" s="13"/>
      <c r="N5" s="13"/>
      <c r="O5" s="13"/>
      <c r="P5" s="13"/>
      <c r="Q5" s="13"/>
      <c r="R5" s="13"/>
      <c r="S5" s="13"/>
      <c r="T5" s="13"/>
      <c r="U5" s="13"/>
      <c r="V5" s="13"/>
      <c r="W5" s="13"/>
      <c r="X5" s="13"/>
      <c r="Y5" s="13"/>
      <c r="Z5" s="13"/>
    </row>
    <row r="6">
      <c r="A6" s="13"/>
      <c r="B6" s="204" t="s">
        <v>183</v>
      </c>
      <c r="C6" s="205">
        <f>C4-C5</f>
        <v>208224.1843</v>
      </c>
      <c r="D6" s="200"/>
      <c r="E6" s="200"/>
      <c r="F6" s="200"/>
      <c r="G6" s="200"/>
      <c r="H6" s="200"/>
      <c r="I6" s="199"/>
      <c r="J6" s="199"/>
      <c r="K6" s="13"/>
      <c r="L6" s="13"/>
      <c r="M6" s="13"/>
      <c r="N6" s="13"/>
      <c r="O6" s="13"/>
      <c r="P6" s="13"/>
      <c r="Q6" s="13"/>
      <c r="R6" s="13"/>
      <c r="S6" s="13"/>
      <c r="T6" s="13"/>
      <c r="U6" s="13"/>
      <c r="V6" s="13"/>
      <c r="W6" s="13"/>
      <c r="X6" s="13"/>
      <c r="Y6" s="13"/>
      <c r="Z6" s="13"/>
    </row>
    <row r="7">
      <c r="A7" s="13"/>
      <c r="B7" s="15"/>
      <c r="C7" s="13"/>
      <c r="D7" s="13"/>
      <c r="E7" s="13"/>
      <c r="F7" s="13"/>
      <c r="G7" s="13"/>
      <c r="H7" s="13"/>
      <c r="I7" s="13"/>
      <c r="J7" s="13"/>
      <c r="K7" s="13"/>
      <c r="L7" s="13"/>
      <c r="M7" s="13"/>
      <c r="N7" s="13"/>
      <c r="O7" s="13"/>
      <c r="P7" s="13"/>
      <c r="Q7" s="13"/>
      <c r="R7" s="13"/>
      <c r="S7" s="13"/>
      <c r="T7" s="13"/>
      <c r="U7" s="13"/>
      <c r="V7" s="13"/>
      <c r="W7" s="13"/>
      <c r="X7" s="13"/>
      <c r="Y7" s="13"/>
      <c r="Z7" s="13"/>
    </row>
    <row r="8">
      <c r="A8" s="13"/>
      <c r="B8" s="206" t="s">
        <v>184</v>
      </c>
      <c r="C8" s="37"/>
      <c r="D8" s="37"/>
      <c r="E8" s="37"/>
      <c r="F8" s="37"/>
      <c r="G8" s="37"/>
      <c r="H8" s="207"/>
      <c r="I8" s="13"/>
      <c r="J8" s="13"/>
      <c r="K8" s="13"/>
      <c r="L8" s="13"/>
      <c r="M8" s="13"/>
      <c r="N8" s="13"/>
      <c r="O8" s="13"/>
      <c r="P8" s="13"/>
      <c r="Q8" s="13"/>
      <c r="R8" s="13"/>
      <c r="S8" s="13"/>
      <c r="T8" s="13"/>
      <c r="U8" s="13"/>
      <c r="V8" s="13"/>
      <c r="W8" s="13"/>
      <c r="X8" s="13"/>
      <c r="Y8" s="13"/>
      <c r="Z8" s="13"/>
    </row>
    <row r="9">
      <c r="A9" s="13"/>
      <c r="B9" s="13"/>
      <c r="C9" s="13"/>
      <c r="D9" s="13"/>
      <c r="E9" s="13"/>
      <c r="F9" s="13"/>
      <c r="G9" s="13"/>
      <c r="H9" s="13"/>
      <c r="I9" s="13"/>
      <c r="J9" s="13"/>
      <c r="K9" s="13"/>
      <c r="L9" s="13"/>
      <c r="M9" s="13"/>
      <c r="N9" s="13"/>
      <c r="O9" s="13"/>
      <c r="P9" s="13"/>
      <c r="Q9" s="13"/>
      <c r="R9" s="13"/>
      <c r="S9" s="13"/>
      <c r="T9" s="13"/>
      <c r="U9" s="13"/>
      <c r="V9" s="13"/>
      <c r="W9" s="13"/>
      <c r="X9" s="13"/>
      <c r="Y9" s="13"/>
      <c r="Z9" s="13"/>
    </row>
    <row r="10">
      <c r="A10" s="13"/>
      <c r="B10" s="199" t="s">
        <v>185</v>
      </c>
      <c r="C10" s="13"/>
      <c r="D10" s="13"/>
      <c r="E10" s="13"/>
      <c r="F10" s="13"/>
      <c r="G10" s="13"/>
      <c r="H10" s="13"/>
      <c r="I10" s="13"/>
      <c r="J10" s="13"/>
      <c r="K10" s="13"/>
      <c r="L10" s="13"/>
      <c r="M10" s="13"/>
      <c r="N10" s="13"/>
      <c r="O10" s="13"/>
      <c r="P10" s="13"/>
      <c r="Q10" s="13"/>
      <c r="R10" s="13"/>
      <c r="S10" s="13"/>
      <c r="T10" s="13"/>
      <c r="U10" s="13"/>
      <c r="V10" s="13"/>
      <c r="W10" s="13"/>
      <c r="X10" s="13"/>
      <c r="Y10" s="13"/>
      <c r="Z10" s="13"/>
    </row>
    <row r="11">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ht="31.5" customHeight="1">
      <c r="A12" s="13"/>
      <c r="B12" s="208" t="s">
        <v>186</v>
      </c>
      <c r="C12" s="209" t="s">
        <v>187</v>
      </c>
      <c r="D12" s="209" t="s">
        <v>188</v>
      </c>
      <c r="E12" s="209" t="s">
        <v>189</v>
      </c>
      <c r="F12" s="209" t="s">
        <v>190</v>
      </c>
      <c r="G12" s="210" t="s">
        <v>191</v>
      </c>
      <c r="H12" s="211" t="s">
        <v>192</v>
      </c>
      <c r="I12" s="13"/>
      <c r="J12" s="13"/>
      <c r="K12" s="13"/>
      <c r="L12" s="13"/>
      <c r="M12" s="13"/>
      <c r="N12" s="13"/>
      <c r="O12" s="13"/>
      <c r="P12" s="13"/>
      <c r="Q12" s="13"/>
      <c r="R12" s="13"/>
      <c r="S12" s="13"/>
      <c r="T12" s="13"/>
      <c r="U12" s="13"/>
      <c r="V12" s="13"/>
      <c r="W12" s="13"/>
      <c r="X12" s="13"/>
      <c r="Y12" s="13"/>
      <c r="Z12" s="13"/>
    </row>
    <row r="13">
      <c r="A13" s="13">
        <v>1.0</v>
      </c>
      <c r="B13" s="76" t="s">
        <v>587</v>
      </c>
      <c r="C13" s="212">
        <v>7.0</v>
      </c>
      <c r="D13" s="212">
        <v>2400.0</v>
      </c>
      <c r="E13" s="213">
        <f t="array" ref="E13">INDEX('Sec 42 Rent Limits'!$C$12:$C$31,MATCH('Income &amp; Expenses (P3RTO)'!$B13,'Sec 42 Rent Limits'!$B$12:$B$31,0))</f>
        <v>952</v>
      </c>
      <c r="F13" s="213">
        <f>-'Assumptions (P3RTO)'!D40</f>
        <v>-113</v>
      </c>
      <c r="G13" s="214">
        <f t="shared" ref="G13:G37" si="1">E13+F13</f>
        <v>839</v>
      </c>
      <c r="H13" s="215">
        <f t="shared" ref="H13:H37" si="2">C13*G13*12</f>
        <v>70476</v>
      </c>
      <c r="I13" s="13"/>
      <c r="J13" s="58"/>
      <c r="K13" s="13"/>
      <c r="L13" s="13"/>
      <c r="M13" s="13"/>
      <c r="N13" s="13"/>
      <c r="O13" s="13"/>
      <c r="P13" s="13"/>
      <c r="Q13" s="13"/>
      <c r="R13" s="13"/>
      <c r="S13" s="13"/>
      <c r="T13" s="13"/>
      <c r="U13" s="13"/>
      <c r="V13" s="13"/>
      <c r="W13" s="13"/>
      <c r="X13" s="13"/>
      <c r="Y13" s="13"/>
      <c r="Z13" s="13"/>
    </row>
    <row r="14">
      <c r="A14" s="13">
        <v>2.0</v>
      </c>
      <c r="B14" s="216" t="s">
        <v>588</v>
      </c>
      <c r="C14" s="217">
        <v>7.0</v>
      </c>
      <c r="D14" s="217">
        <f>D13</f>
        <v>2400</v>
      </c>
      <c r="E14" s="213">
        <f t="array" ref="E14">INDEX('Sec 42 Rent Limits'!$C$12:$C$31,MATCH('Income &amp; Expenses (P3RTO)'!$B14,'Sec 42 Rent Limits'!$B$12:$B$31,0))</f>
        <v>1270</v>
      </c>
      <c r="F14" s="218">
        <f t="shared" ref="F14:F17" si="3">F13</f>
        <v>-113</v>
      </c>
      <c r="G14" s="219">
        <f t="shared" si="1"/>
        <v>1157</v>
      </c>
      <c r="H14" s="215">
        <f t="shared" si="2"/>
        <v>97188</v>
      </c>
      <c r="I14" s="58"/>
      <c r="J14" s="58"/>
      <c r="K14" s="57"/>
      <c r="L14" s="13"/>
      <c r="M14" s="13"/>
      <c r="N14" s="13"/>
      <c r="O14" s="13"/>
      <c r="P14" s="13"/>
      <c r="Q14" s="13"/>
      <c r="R14" s="13"/>
      <c r="S14" s="13"/>
      <c r="T14" s="13"/>
      <c r="U14" s="13"/>
      <c r="V14" s="13"/>
      <c r="W14" s="13"/>
      <c r="X14" s="13"/>
      <c r="Y14" s="13"/>
      <c r="Z14" s="13"/>
    </row>
    <row r="15">
      <c r="A15" s="13">
        <v>3.0</v>
      </c>
      <c r="B15" s="216" t="s">
        <v>589</v>
      </c>
      <c r="C15" s="217">
        <v>7.0</v>
      </c>
      <c r="D15" s="217">
        <f>D13</f>
        <v>2400</v>
      </c>
      <c r="E15" s="213">
        <f t="array" ref="E15">INDEX('Sec 42 Rent Limits'!$C$12:$C$31,MATCH('Income &amp; Expenses (P3RTO)'!$B15,'Sec 42 Rent Limits'!$B$12:$B$31,0))</f>
        <v>1587</v>
      </c>
      <c r="F15" s="218">
        <f t="shared" si="3"/>
        <v>-113</v>
      </c>
      <c r="G15" s="219">
        <f t="shared" si="1"/>
        <v>1474</v>
      </c>
      <c r="H15" s="215">
        <f t="shared" si="2"/>
        <v>123816</v>
      </c>
      <c r="I15" s="13"/>
      <c r="J15" s="13"/>
      <c r="K15" s="57"/>
      <c r="L15" s="13"/>
      <c r="M15" s="13"/>
      <c r="N15" s="13"/>
      <c r="O15" s="13"/>
      <c r="P15" s="13"/>
      <c r="Q15" s="13"/>
      <c r="R15" s="13"/>
      <c r="S15" s="13"/>
      <c r="T15" s="13"/>
      <c r="U15" s="13"/>
      <c r="V15" s="13"/>
      <c r="W15" s="13"/>
      <c r="X15" s="13"/>
      <c r="Y15" s="13"/>
      <c r="Z15" s="13"/>
    </row>
    <row r="16">
      <c r="A16" s="13">
        <v>4.0</v>
      </c>
      <c r="B16" s="216" t="s">
        <v>590</v>
      </c>
      <c r="C16" s="217">
        <v>7.0</v>
      </c>
      <c r="D16" s="217">
        <f t="shared" ref="D16:D17" si="4">D13</f>
        <v>2400</v>
      </c>
      <c r="E16" s="213">
        <f t="array" ref="E16">INDEX('Sec 42 Rent Limits'!$C$12:$C$31,MATCH('Income &amp; Expenses (P3RTO)'!$B16,'Sec 42 Rent Limits'!$B$12:$B$31,0))</f>
        <v>1905</v>
      </c>
      <c r="F16" s="218">
        <f t="shared" si="3"/>
        <v>-113</v>
      </c>
      <c r="G16" s="222">
        <f t="shared" si="1"/>
        <v>1792</v>
      </c>
      <c r="H16" s="215">
        <f t="shared" si="2"/>
        <v>150528</v>
      </c>
      <c r="I16" s="13"/>
      <c r="J16" s="13"/>
      <c r="K16" s="13"/>
      <c r="L16" s="13"/>
      <c r="M16" s="13"/>
      <c r="N16" s="13"/>
      <c r="O16" s="13"/>
      <c r="P16" s="13"/>
      <c r="Q16" s="13"/>
      <c r="R16" s="13"/>
      <c r="S16" s="13"/>
      <c r="T16" s="13"/>
      <c r="U16" s="13"/>
      <c r="V16" s="13"/>
      <c r="W16" s="13"/>
      <c r="X16" s="13"/>
      <c r="Y16" s="13"/>
      <c r="Z16" s="13"/>
    </row>
    <row r="17">
      <c r="A17" s="13">
        <v>5.0</v>
      </c>
      <c r="B17" s="216" t="s">
        <v>591</v>
      </c>
      <c r="C17" s="217">
        <v>9.0</v>
      </c>
      <c r="D17" s="217">
        <f t="shared" si="4"/>
        <v>2400</v>
      </c>
      <c r="E17" s="213">
        <f t="array" ref="E17">INDEX('Sec 42 Rent Limits'!$C$12:$C$31,MATCH('Income &amp; Expenses (P3RTO)'!$B17,'Sec 42 Rent Limits'!$B$12:$B$31,0))</f>
        <v>2540</v>
      </c>
      <c r="F17" s="218">
        <f t="shared" si="3"/>
        <v>-113</v>
      </c>
      <c r="G17" s="219">
        <f t="shared" si="1"/>
        <v>2427</v>
      </c>
      <c r="H17" s="215">
        <f t="shared" si="2"/>
        <v>262116</v>
      </c>
      <c r="I17" s="13"/>
      <c r="J17" s="13"/>
      <c r="K17" s="13"/>
      <c r="L17" s="13"/>
      <c r="M17" s="13"/>
      <c r="N17" s="13"/>
      <c r="O17" s="13"/>
      <c r="P17" s="13"/>
      <c r="Q17" s="13"/>
      <c r="R17" s="13"/>
      <c r="S17" s="13"/>
      <c r="T17" s="13"/>
      <c r="U17" s="13"/>
      <c r="V17" s="13"/>
      <c r="W17" s="13"/>
      <c r="X17" s="13"/>
      <c r="Y17" s="13"/>
      <c r="Z17" s="13"/>
    </row>
    <row r="18">
      <c r="A18" s="13">
        <v>6.0</v>
      </c>
      <c r="B18" s="216" t="s">
        <v>198</v>
      </c>
      <c r="C18" s="217">
        <v>0.0</v>
      </c>
      <c r="D18" s="217"/>
      <c r="E18" s="213"/>
      <c r="F18" s="218"/>
      <c r="G18" s="219">
        <f t="shared" si="1"/>
        <v>0</v>
      </c>
      <c r="H18" s="215">
        <f t="shared" si="2"/>
        <v>0</v>
      </c>
      <c r="I18" s="13"/>
      <c r="J18" s="13"/>
      <c r="K18" s="13"/>
      <c r="L18" s="13"/>
      <c r="M18" s="13"/>
      <c r="N18" s="13"/>
      <c r="O18" s="13"/>
      <c r="P18" s="13"/>
      <c r="Q18" s="13"/>
      <c r="R18" s="13"/>
      <c r="S18" s="13"/>
      <c r="T18" s="13"/>
      <c r="U18" s="13"/>
      <c r="V18" s="13"/>
      <c r="W18" s="13"/>
      <c r="X18" s="13"/>
      <c r="Y18" s="13"/>
      <c r="Z18" s="13"/>
    </row>
    <row r="19">
      <c r="A19" s="13">
        <v>7.0</v>
      </c>
      <c r="B19" s="216" t="s">
        <v>199</v>
      </c>
      <c r="C19" s="217">
        <v>0.0</v>
      </c>
      <c r="D19" s="217"/>
      <c r="E19" s="218"/>
      <c r="F19" s="218"/>
      <c r="G19" s="219">
        <f t="shared" si="1"/>
        <v>0</v>
      </c>
      <c r="H19" s="215">
        <f t="shared" si="2"/>
        <v>0</v>
      </c>
      <c r="I19" s="13"/>
      <c r="J19" s="13"/>
      <c r="K19" s="13"/>
      <c r="L19" s="13"/>
      <c r="M19" s="13"/>
      <c r="N19" s="13"/>
      <c r="O19" s="13"/>
      <c r="P19" s="13"/>
      <c r="Q19" s="13"/>
      <c r="R19" s="13"/>
      <c r="S19" s="13"/>
      <c r="T19" s="13"/>
      <c r="U19" s="13"/>
      <c r="V19" s="13"/>
      <c r="W19" s="13"/>
      <c r="X19" s="13"/>
      <c r="Y19" s="13"/>
      <c r="Z19" s="13"/>
    </row>
    <row r="20">
      <c r="A20" s="13">
        <v>8.0</v>
      </c>
      <c r="B20" s="216" t="s">
        <v>200</v>
      </c>
      <c r="C20" s="217">
        <v>0.0</v>
      </c>
      <c r="D20" s="217"/>
      <c r="E20" s="218"/>
      <c r="F20" s="218"/>
      <c r="G20" s="219">
        <f t="shared" si="1"/>
        <v>0</v>
      </c>
      <c r="H20" s="215">
        <f t="shared" si="2"/>
        <v>0</v>
      </c>
      <c r="I20" s="13"/>
      <c r="J20" s="13"/>
      <c r="K20" s="13"/>
      <c r="L20" s="13"/>
      <c r="M20" s="13"/>
      <c r="N20" s="13"/>
      <c r="O20" s="13"/>
      <c r="P20" s="13"/>
      <c r="Q20" s="13"/>
      <c r="R20" s="13"/>
      <c r="S20" s="13"/>
      <c r="T20" s="13"/>
      <c r="U20" s="13"/>
      <c r="V20" s="13"/>
      <c r="W20" s="13"/>
      <c r="X20" s="13"/>
      <c r="Y20" s="13"/>
      <c r="Z20" s="13"/>
    </row>
    <row r="21" ht="15.75" customHeight="1">
      <c r="A21" s="13">
        <v>9.0</v>
      </c>
      <c r="B21" s="216" t="s">
        <v>201</v>
      </c>
      <c r="C21" s="217">
        <v>0.0</v>
      </c>
      <c r="D21" s="217"/>
      <c r="E21" s="221"/>
      <c r="F21" s="221"/>
      <c r="G21" s="222">
        <f t="shared" si="1"/>
        <v>0</v>
      </c>
      <c r="H21" s="215">
        <f t="shared" si="2"/>
        <v>0</v>
      </c>
      <c r="I21" s="13"/>
      <c r="J21" s="13"/>
      <c r="K21" s="13"/>
      <c r="L21" s="13"/>
      <c r="M21" s="13"/>
      <c r="N21" s="13"/>
      <c r="O21" s="13"/>
      <c r="P21" s="13"/>
      <c r="Q21" s="13"/>
      <c r="R21" s="13"/>
      <c r="S21" s="13"/>
      <c r="T21" s="13"/>
      <c r="U21" s="13"/>
      <c r="V21" s="13"/>
      <c r="W21" s="13"/>
      <c r="X21" s="13"/>
      <c r="Y21" s="13"/>
      <c r="Z21" s="13"/>
    </row>
    <row r="22" ht="15.75" customHeight="1">
      <c r="A22" s="13">
        <v>10.0</v>
      </c>
      <c r="B22" s="216" t="s">
        <v>202</v>
      </c>
      <c r="C22" s="217">
        <v>0.0</v>
      </c>
      <c r="D22" s="217"/>
      <c r="E22" s="218"/>
      <c r="F22" s="218"/>
      <c r="G22" s="219">
        <f t="shared" si="1"/>
        <v>0</v>
      </c>
      <c r="H22" s="215">
        <f t="shared" si="2"/>
        <v>0</v>
      </c>
      <c r="I22" s="13"/>
      <c r="J22" s="13"/>
      <c r="K22" s="13"/>
      <c r="L22" s="13"/>
      <c r="M22" s="13"/>
      <c r="N22" s="13"/>
      <c r="O22" s="13"/>
      <c r="P22" s="13"/>
      <c r="Q22" s="13"/>
      <c r="R22" s="13"/>
      <c r="S22" s="13"/>
      <c r="T22" s="13"/>
      <c r="U22" s="13"/>
      <c r="V22" s="13"/>
      <c r="W22" s="13"/>
      <c r="X22" s="13"/>
      <c r="Y22" s="13"/>
      <c r="Z22" s="13"/>
    </row>
    <row r="23" ht="15.75" hidden="1" customHeight="1">
      <c r="A23" s="13">
        <v>11.0</v>
      </c>
      <c r="B23" s="216" t="s">
        <v>586</v>
      </c>
      <c r="C23" s="217">
        <v>0.0</v>
      </c>
      <c r="D23" s="217">
        <v>940.0</v>
      </c>
      <c r="E23" s="218">
        <f>'Assumptions (P3RTO)'!D9*'Assumptions (P3RTO)'!$D$15</f>
        <v>2130</v>
      </c>
      <c r="F23" s="218">
        <f>('Assumptions (P3RTO)'!D39)*-1</f>
        <v>-93</v>
      </c>
      <c r="G23" s="219">
        <f t="shared" si="1"/>
        <v>2037</v>
      </c>
      <c r="H23" s="215">
        <f t="shared" si="2"/>
        <v>0</v>
      </c>
      <c r="I23" s="13"/>
      <c r="J23" s="13"/>
      <c r="K23" s="13"/>
      <c r="L23" s="13"/>
      <c r="M23" s="13"/>
      <c r="N23" s="13"/>
      <c r="O23" s="13"/>
      <c r="P23" s="13"/>
      <c r="Q23" s="13"/>
      <c r="R23" s="13"/>
      <c r="S23" s="13"/>
      <c r="T23" s="13"/>
      <c r="U23" s="13"/>
      <c r="V23" s="13"/>
      <c r="W23" s="13"/>
      <c r="X23" s="13"/>
      <c r="Y23" s="13"/>
      <c r="Z23" s="13"/>
    </row>
    <row r="24" ht="15.75" hidden="1" customHeight="1">
      <c r="A24" s="13">
        <v>12.0</v>
      </c>
      <c r="B24" s="216" t="s">
        <v>591</v>
      </c>
      <c r="C24" s="217">
        <v>0.0</v>
      </c>
      <c r="D24" s="217">
        <v>1200.0</v>
      </c>
      <c r="E24" s="218">
        <f>'Assumptions (P3RTO)'!D10*'Assumptions (P3RTO)'!$D$15</f>
        <v>2461</v>
      </c>
      <c r="F24" s="218">
        <f>('Assumptions (P3RTO)'!D40)*-1</f>
        <v>-113</v>
      </c>
      <c r="G24" s="219">
        <f t="shared" si="1"/>
        <v>2348</v>
      </c>
      <c r="H24" s="215">
        <f t="shared" si="2"/>
        <v>0</v>
      </c>
      <c r="I24" s="13"/>
      <c r="J24" s="13"/>
      <c r="K24" s="13"/>
      <c r="L24" s="13"/>
      <c r="M24" s="13"/>
      <c r="N24" s="13"/>
      <c r="O24" s="13"/>
      <c r="P24" s="13"/>
      <c r="Q24" s="13"/>
      <c r="R24" s="13"/>
      <c r="S24" s="13"/>
      <c r="T24" s="13"/>
      <c r="U24" s="13"/>
      <c r="V24" s="13"/>
      <c r="W24" s="13"/>
      <c r="X24" s="13"/>
      <c r="Y24" s="13"/>
      <c r="Z24" s="13"/>
    </row>
    <row r="25" ht="15.75" hidden="1" customHeight="1">
      <c r="A25" s="13">
        <v>13.0</v>
      </c>
      <c r="B25" s="216" t="s">
        <v>654</v>
      </c>
      <c r="C25" s="217">
        <v>0.0</v>
      </c>
      <c r="D25" s="217">
        <v>450.0</v>
      </c>
      <c r="E25" s="218">
        <f>'Assumptions (P3RTO)'!D7*'Assumptions (P3RTO)'!$D$16</f>
        <v>2071.25</v>
      </c>
      <c r="F25" s="218">
        <v>0.0</v>
      </c>
      <c r="G25" s="219">
        <f t="shared" si="1"/>
        <v>2071.25</v>
      </c>
      <c r="H25" s="215">
        <f t="shared" si="2"/>
        <v>0</v>
      </c>
      <c r="I25" s="13"/>
      <c r="J25" s="13"/>
      <c r="K25" s="13"/>
      <c r="L25" s="13"/>
      <c r="M25" s="13"/>
      <c r="N25" s="13"/>
      <c r="O25" s="13"/>
      <c r="P25" s="13"/>
      <c r="Q25" s="13"/>
      <c r="R25" s="13"/>
      <c r="S25" s="13"/>
      <c r="T25" s="13"/>
      <c r="U25" s="13"/>
      <c r="V25" s="13"/>
      <c r="W25" s="13"/>
      <c r="X25" s="13"/>
      <c r="Y25" s="13"/>
      <c r="Z25" s="13"/>
    </row>
    <row r="26" ht="15.75" hidden="1" customHeight="1">
      <c r="A26" s="13">
        <v>14.0</v>
      </c>
      <c r="B26" s="216" t="s">
        <v>655</v>
      </c>
      <c r="C26" s="217">
        <v>0.0</v>
      </c>
      <c r="D26" s="217">
        <v>650.0</v>
      </c>
      <c r="E26" s="218">
        <f>'Assumptions (P3RTO)'!D8*'Assumptions (P3RTO)'!$D$16</f>
        <v>2218.75</v>
      </c>
      <c r="F26" s="218">
        <v>0.0</v>
      </c>
      <c r="G26" s="219">
        <f t="shared" si="1"/>
        <v>2218.75</v>
      </c>
      <c r="H26" s="215">
        <f t="shared" si="2"/>
        <v>0</v>
      </c>
      <c r="I26" s="13"/>
      <c r="J26" s="13"/>
      <c r="K26" s="13"/>
      <c r="L26" s="13"/>
      <c r="M26" s="13"/>
      <c r="N26" s="13"/>
      <c r="O26" s="13"/>
      <c r="P26" s="13"/>
      <c r="Q26" s="13"/>
      <c r="R26" s="13"/>
      <c r="S26" s="13"/>
      <c r="T26" s="13"/>
      <c r="U26" s="13"/>
      <c r="V26" s="13"/>
      <c r="W26" s="13"/>
      <c r="X26" s="13"/>
      <c r="Y26" s="13"/>
      <c r="Z26" s="13"/>
    </row>
    <row r="27" ht="15.75" hidden="1" customHeight="1">
      <c r="A27" s="13">
        <v>15.0</v>
      </c>
      <c r="B27" s="216" t="s">
        <v>656</v>
      </c>
      <c r="C27" s="217">
        <v>0.0</v>
      </c>
      <c r="D27" s="217">
        <v>940.0</v>
      </c>
      <c r="E27" s="218">
        <f>'Assumptions (P3RTO)'!D9*'Assumptions (P3RTO)'!$D$16</f>
        <v>2662.5</v>
      </c>
      <c r="F27" s="218">
        <v>0.0</v>
      </c>
      <c r="G27" s="219">
        <f t="shared" si="1"/>
        <v>2662.5</v>
      </c>
      <c r="H27" s="215">
        <f t="shared" si="2"/>
        <v>0</v>
      </c>
      <c r="I27" s="13"/>
      <c r="J27" s="13"/>
      <c r="K27" s="13"/>
      <c r="L27" s="13"/>
      <c r="M27" s="13"/>
      <c r="N27" s="13"/>
      <c r="O27" s="13"/>
      <c r="P27" s="13"/>
      <c r="Q27" s="13"/>
      <c r="R27" s="13"/>
      <c r="S27" s="13"/>
      <c r="T27" s="13"/>
      <c r="U27" s="13"/>
      <c r="V27" s="13"/>
      <c r="W27" s="13"/>
      <c r="X27" s="13"/>
      <c r="Y27" s="13"/>
      <c r="Z27" s="13"/>
    </row>
    <row r="28" ht="15.75" hidden="1" customHeight="1">
      <c r="A28" s="13">
        <v>16.0</v>
      </c>
      <c r="B28" s="216" t="s">
        <v>657</v>
      </c>
      <c r="C28" s="217">
        <v>0.0</v>
      </c>
      <c r="D28" s="217">
        <v>1200.0</v>
      </c>
      <c r="E28" s="218">
        <f>'Assumptions (P3RTO)'!D10*'Assumptions (P3RTO)'!$D$16</f>
        <v>3076.25</v>
      </c>
      <c r="F28" s="218">
        <v>0.0</v>
      </c>
      <c r="G28" s="219">
        <f t="shared" si="1"/>
        <v>3076.25</v>
      </c>
      <c r="H28" s="215">
        <f t="shared" si="2"/>
        <v>0</v>
      </c>
      <c r="I28" s="13"/>
      <c r="J28" s="13"/>
      <c r="K28" s="13"/>
      <c r="L28" s="13"/>
      <c r="M28" s="13"/>
      <c r="N28" s="13"/>
      <c r="O28" s="13"/>
      <c r="P28" s="13"/>
      <c r="Q28" s="13"/>
      <c r="R28" s="13"/>
      <c r="S28" s="13"/>
      <c r="T28" s="13"/>
      <c r="U28" s="13"/>
      <c r="V28" s="13"/>
      <c r="W28" s="13"/>
      <c r="X28" s="13"/>
      <c r="Y28" s="13"/>
      <c r="Z28" s="13"/>
    </row>
    <row r="29" ht="15.75" hidden="1" customHeight="1">
      <c r="A29" s="13">
        <v>17.0</v>
      </c>
      <c r="B29" s="216" t="s">
        <v>209</v>
      </c>
      <c r="C29" s="217">
        <v>0.0</v>
      </c>
      <c r="D29" s="217"/>
      <c r="E29" s="217">
        <v>0.0</v>
      </c>
      <c r="F29" s="217">
        <v>0.0</v>
      </c>
      <c r="G29" s="162">
        <f t="shared" si="1"/>
        <v>0</v>
      </c>
      <c r="H29" s="223">
        <f t="shared" si="2"/>
        <v>0</v>
      </c>
      <c r="I29" s="13"/>
      <c r="J29" s="13"/>
      <c r="K29" s="13"/>
      <c r="L29" s="13"/>
      <c r="M29" s="13"/>
      <c r="N29" s="13"/>
      <c r="O29" s="13"/>
      <c r="P29" s="13"/>
      <c r="Q29" s="13"/>
      <c r="R29" s="13"/>
      <c r="S29" s="13"/>
      <c r="T29" s="13"/>
      <c r="U29" s="13"/>
      <c r="V29" s="13"/>
      <c r="W29" s="13"/>
      <c r="X29" s="13"/>
      <c r="Y29" s="13"/>
      <c r="Z29" s="13"/>
    </row>
    <row r="30" ht="15.75" hidden="1" customHeight="1">
      <c r="A30" s="13">
        <v>18.0</v>
      </c>
      <c r="B30" s="216" t="s">
        <v>210</v>
      </c>
      <c r="C30" s="217">
        <v>0.0</v>
      </c>
      <c r="D30" s="217"/>
      <c r="E30" s="217">
        <v>0.0</v>
      </c>
      <c r="F30" s="217">
        <v>0.0</v>
      </c>
      <c r="G30" s="162">
        <f t="shared" si="1"/>
        <v>0</v>
      </c>
      <c r="H30" s="223">
        <f t="shared" si="2"/>
        <v>0</v>
      </c>
      <c r="I30" s="13"/>
      <c r="J30" s="13"/>
      <c r="K30" s="13"/>
      <c r="L30" s="13"/>
      <c r="M30" s="13"/>
      <c r="N30" s="13"/>
      <c r="O30" s="13"/>
      <c r="P30" s="13"/>
      <c r="Q30" s="13"/>
      <c r="R30" s="13"/>
      <c r="S30" s="13"/>
      <c r="T30" s="13"/>
      <c r="U30" s="13"/>
      <c r="V30" s="13"/>
      <c r="W30" s="13"/>
      <c r="X30" s="13"/>
      <c r="Y30" s="13"/>
      <c r="Z30" s="13"/>
    </row>
    <row r="31" ht="15.75" hidden="1" customHeight="1">
      <c r="A31" s="13">
        <v>19.0</v>
      </c>
      <c r="B31" s="216" t="s">
        <v>211</v>
      </c>
      <c r="C31" s="217">
        <v>0.0</v>
      </c>
      <c r="D31" s="217"/>
      <c r="E31" s="217">
        <v>0.0</v>
      </c>
      <c r="F31" s="217">
        <v>0.0</v>
      </c>
      <c r="G31" s="162">
        <f t="shared" si="1"/>
        <v>0</v>
      </c>
      <c r="H31" s="223">
        <f t="shared" si="2"/>
        <v>0</v>
      </c>
      <c r="I31" s="13"/>
      <c r="J31" s="13"/>
      <c r="K31" s="13"/>
      <c r="L31" s="13"/>
      <c r="M31" s="13"/>
      <c r="N31" s="13"/>
      <c r="O31" s="13"/>
      <c r="P31" s="13"/>
      <c r="Q31" s="13"/>
      <c r="R31" s="13"/>
      <c r="S31" s="13"/>
      <c r="T31" s="13"/>
      <c r="U31" s="13"/>
      <c r="V31" s="13"/>
      <c r="W31" s="13"/>
      <c r="X31" s="13"/>
      <c r="Y31" s="13"/>
      <c r="Z31" s="13"/>
    </row>
    <row r="32" ht="15.75" hidden="1" customHeight="1">
      <c r="A32" s="13">
        <v>20.0</v>
      </c>
      <c r="B32" s="216" t="s">
        <v>212</v>
      </c>
      <c r="C32" s="217">
        <v>0.0</v>
      </c>
      <c r="D32" s="217"/>
      <c r="E32" s="217">
        <v>0.0</v>
      </c>
      <c r="F32" s="217">
        <v>0.0</v>
      </c>
      <c r="G32" s="162">
        <f t="shared" si="1"/>
        <v>0</v>
      </c>
      <c r="H32" s="223">
        <f t="shared" si="2"/>
        <v>0</v>
      </c>
      <c r="I32" s="13"/>
      <c r="J32" s="13"/>
      <c r="K32" s="13"/>
      <c r="L32" s="13"/>
      <c r="M32" s="13"/>
      <c r="N32" s="13"/>
      <c r="O32" s="13"/>
      <c r="P32" s="13"/>
      <c r="Q32" s="13"/>
      <c r="R32" s="13"/>
      <c r="S32" s="13"/>
      <c r="T32" s="13"/>
      <c r="U32" s="13"/>
      <c r="V32" s="13"/>
      <c r="W32" s="13"/>
      <c r="X32" s="13"/>
      <c r="Y32" s="13"/>
      <c r="Z32" s="13"/>
    </row>
    <row r="33" ht="15.75" hidden="1" customHeight="1">
      <c r="A33" s="13">
        <v>21.0</v>
      </c>
      <c r="B33" s="216" t="s">
        <v>213</v>
      </c>
      <c r="C33" s="217">
        <v>0.0</v>
      </c>
      <c r="D33" s="217"/>
      <c r="E33" s="217">
        <v>0.0</v>
      </c>
      <c r="F33" s="217">
        <v>0.0</v>
      </c>
      <c r="G33" s="162">
        <f t="shared" si="1"/>
        <v>0</v>
      </c>
      <c r="H33" s="223">
        <f t="shared" si="2"/>
        <v>0</v>
      </c>
      <c r="I33" s="13"/>
      <c r="J33" s="13"/>
      <c r="K33" s="13"/>
      <c r="L33" s="13"/>
      <c r="M33" s="13"/>
      <c r="N33" s="13"/>
      <c r="O33" s="13"/>
      <c r="P33" s="13"/>
      <c r="Q33" s="13"/>
      <c r="R33" s="13"/>
      <c r="S33" s="13"/>
      <c r="T33" s="13"/>
      <c r="U33" s="13"/>
      <c r="V33" s="13"/>
      <c r="W33" s="13"/>
      <c r="X33" s="13"/>
      <c r="Y33" s="13"/>
      <c r="Z33" s="13"/>
    </row>
    <row r="34" ht="15.75" hidden="1" customHeight="1">
      <c r="A34" s="13">
        <v>22.0</v>
      </c>
      <c r="B34" s="216" t="s">
        <v>214</v>
      </c>
      <c r="C34" s="217">
        <v>0.0</v>
      </c>
      <c r="D34" s="217"/>
      <c r="E34" s="217">
        <v>0.0</v>
      </c>
      <c r="F34" s="217">
        <v>0.0</v>
      </c>
      <c r="G34" s="162">
        <f t="shared" si="1"/>
        <v>0</v>
      </c>
      <c r="H34" s="223">
        <f t="shared" si="2"/>
        <v>0</v>
      </c>
      <c r="I34" s="13"/>
      <c r="J34" s="13"/>
      <c r="K34" s="13"/>
      <c r="L34" s="13"/>
      <c r="M34" s="13"/>
      <c r="N34" s="13"/>
      <c r="O34" s="13"/>
      <c r="P34" s="13"/>
      <c r="Q34" s="13"/>
      <c r="R34" s="13"/>
      <c r="S34" s="13"/>
      <c r="T34" s="13"/>
      <c r="U34" s="13"/>
      <c r="V34" s="13"/>
      <c r="W34" s="13"/>
      <c r="X34" s="13"/>
      <c r="Y34" s="13"/>
      <c r="Z34" s="13"/>
    </row>
    <row r="35" ht="15.75" hidden="1" customHeight="1">
      <c r="A35" s="13">
        <v>23.0</v>
      </c>
      <c r="B35" s="216" t="s">
        <v>215</v>
      </c>
      <c r="C35" s="217">
        <v>0.0</v>
      </c>
      <c r="D35" s="217"/>
      <c r="E35" s="217">
        <v>0.0</v>
      </c>
      <c r="F35" s="217">
        <v>0.0</v>
      </c>
      <c r="G35" s="162">
        <f t="shared" si="1"/>
        <v>0</v>
      </c>
      <c r="H35" s="223">
        <f t="shared" si="2"/>
        <v>0</v>
      </c>
      <c r="I35" s="13"/>
      <c r="J35" s="13"/>
      <c r="K35" s="13"/>
      <c r="L35" s="13"/>
      <c r="M35" s="13"/>
      <c r="N35" s="13"/>
      <c r="O35" s="13"/>
      <c r="P35" s="13"/>
      <c r="Q35" s="13"/>
      <c r="R35" s="13"/>
      <c r="S35" s="13"/>
      <c r="T35" s="13"/>
      <c r="U35" s="13"/>
      <c r="V35" s="13"/>
      <c r="W35" s="13"/>
      <c r="X35" s="13"/>
      <c r="Y35" s="13"/>
      <c r="Z35" s="13"/>
    </row>
    <row r="36" ht="15.75" hidden="1" customHeight="1">
      <c r="A36" s="13">
        <v>24.0</v>
      </c>
      <c r="B36" s="216" t="s">
        <v>216</v>
      </c>
      <c r="C36" s="217">
        <v>0.0</v>
      </c>
      <c r="D36" s="217"/>
      <c r="E36" s="217">
        <v>0.0</v>
      </c>
      <c r="F36" s="217">
        <v>0.0</v>
      </c>
      <c r="G36" s="162">
        <f t="shared" si="1"/>
        <v>0</v>
      </c>
      <c r="H36" s="223">
        <f t="shared" si="2"/>
        <v>0</v>
      </c>
      <c r="I36" s="13"/>
      <c r="J36" s="13"/>
      <c r="K36" s="13"/>
      <c r="L36" s="13"/>
      <c r="M36" s="13"/>
      <c r="N36" s="13"/>
      <c r="O36" s="13"/>
      <c r="P36" s="13"/>
      <c r="Q36" s="13"/>
      <c r="R36" s="13"/>
      <c r="S36" s="13"/>
      <c r="T36" s="13"/>
      <c r="U36" s="13"/>
      <c r="V36" s="13"/>
      <c r="W36" s="13"/>
      <c r="X36" s="13"/>
      <c r="Y36" s="13"/>
      <c r="Z36" s="13"/>
    </row>
    <row r="37" ht="15.75" hidden="1" customHeight="1">
      <c r="A37" s="13">
        <v>25.0</v>
      </c>
      <c r="B37" s="216" t="s">
        <v>217</v>
      </c>
      <c r="C37" s="220">
        <v>0.0</v>
      </c>
      <c r="D37" s="220"/>
      <c r="E37" s="220">
        <v>0.0</v>
      </c>
      <c r="F37" s="220">
        <v>0.0</v>
      </c>
      <c r="G37" s="224">
        <f t="shared" si="1"/>
        <v>0</v>
      </c>
      <c r="H37" s="223">
        <f t="shared" si="2"/>
        <v>0</v>
      </c>
      <c r="I37" s="13"/>
      <c r="J37" s="13"/>
      <c r="K37" s="13"/>
      <c r="L37" s="13"/>
      <c r="M37" s="13"/>
      <c r="N37" s="13"/>
      <c r="O37" s="13"/>
      <c r="P37" s="13"/>
      <c r="Q37" s="13"/>
      <c r="R37" s="13"/>
      <c r="S37" s="13"/>
      <c r="T37" s="13"/>
      <c r="U37" s="13"/>
      <c r="V37" s="13"/>
      <c r="W37" s="13"/>
      <c r="X37" s="13"/>
      <c r="Y37" s="13"/>
      <c r="Z37" s="13"/>
    </row>
    <row r="38" ht="15.75" customHeight="1">
      <c r="A38" s="13"/>
      <c r="B38" s="225" t="s">
        <v>218</v>
      </c>
      <c r="C38" s="226">
        <f>SUM(C13:C37)</f>
        <v>37</v>
      </c>
      <c r="D38" s="227"/>
      <c r="E38" s="227"/>
      <c r="F38" s="227"/>
      <c r="G38" s="228" t="s">
        <v>219</v>
      </c>
      <c r="H38" s="229">
        <f>SUM(H13:H37)</f>
        <v>704124</v>
      </c>
      <c r="I38" s="13"/>
      <c r="J38" s="13"/>
      <c r="K38" s="13"/>
      <c r="L38" s="13"/>
      <c r="M38" s="13"/>
      <c r="N38" s="13"/>
      <c r="O38" s="13"/>
      <c r="P38" s="13"/>
      <c r="Q38" s="13"/>
      <c r="R38" s="13"/>
      <c r="S38" s="13"/>
      <c r="T38" s="13"/>
      <c r="U38" s="13"/>
      <c r="V38" s="13"/>
      <c r="W38" s="13"/>
      <c r="X38" s="13"/>
      <c r="Y38" s="13"/>
      <c r="Z38" s="13"/>
    </row>
    <row r="39" ht="15.75" customHeight="1">
      <c r="A39" s="13"/>
      <c r="B39" s="448" t="s">
        <v>592</v>
      </c>
      <c r="C39" s="449">
        <f>SUM(C13:C15)/unit_three_rto</f>
        <v>0.5675675676</v>
      </c>
      <c r="D39" s="13"/>
      <c r="E39" s="13"/>
      <c r="F39" s="13"/>
      <c r="G39" s="13"/>
      <c r="H39" s="13"/>
      <c r="I39" s="13"/>
      <c r="J39" s="13"/>
      <c r="K39" s="13"/>
      <c r="L39" s="13"/>
      <c r="M39" s="13"/>
      <c r="N39" s="13"/>
      <c r="O39" s="13"/>
      <c r="P39" s="13"/>
      <c r="Q39" s="13"/>
      <c r="R39" s="13"/>
      <c r="S39" s="13"/>
      <c r="T39" s="13"/>
      <c r="U39" s="13"/>
      <c r="V39" s="13"/>
      <c r="W39" s="13"/>
      <c r="X39" s="13"/>
      <c r="Y39" s="13"/>
      <c r="Z39" s="13"/>
    </row>
    <row r="40" ht="15.75" customHeight="1">
      <c r="A40" s="13"/>
      <c r="B40" s="231" t="s">
        <v>221</v>
      </c>
      <c r="C40" s="13"/>
      <c r="D40" s="13"/>
      <c r="E40" s="13"/>
      <c r="F40" s="13"/>
      <c r="G40" s="13"/>
      <c r="H40" s="13"/>
      <c r="I40" s="13"/>
      <c r="J40" s="13"/>
      <c r="K40" s="13"/>
      <c r="L40" s="13"/>
      <c r="M40" s="13"/>
      <c r="N40" s="13"/>
      <c r="O40" s="13"/>
      <c r="P40" s="13"/>
      <c r="Q40" s="13"/>
      <c r="R40" s="13"/>
      <c r="S40" s="13"/>
      <c r="T40" s="13"/>
      <c r="U40" s="13"/>
      <c r="V40" s="13"/>
      <c r="W40" s="13"/>
      <c r="X40" s="13"/>
      <c r="Y40" s="13"/>
      <c r="Z40" s="13"/>
    </row>
    <row r="41" ht="15.75" customHeight="1">
      <c r="A41" s="13"/>
      <c r="B41" s="230"/>
      <c r="C41" s="13"/>
      <c r="D41" s="13"/>
      <c r="E41" s="13"/>
      <c r="F41" s="13"/>
      <c r="G41" s="13"/>
      <c r="H41" s="13"/>
      <c r="I41" s="13"/>
      <c r="J41" s="13"/>
      <c r="K41" s="13"/>
      <c r="L41" s="13"/>
      <c r="M41" s="13"/>
      <c r="N41" s="13"/>
      <c r="O41" s="13"/>
      <c r="P41" s="13"/>
      <c r="Q41" s="13"/>
      <c r="R41" s="13"/>
      <c r="S41" s="13"/>
      <c r="T41" s="13"/>
      <c r="U41" s="13"/>
      <c r="V41" s="13"/>
      <c r="W41" s="13"/>
      <c r="X41" s="13"/>
      <c r="Y41" s="13"/>
      <c r="Z41" s="13"/>
    </row>
    <row r="42" ht="15.75" customHeight="1">
      <c r="A42" s="13"/>
      <c r="B42" s="208" t="s">
        <v>222</v>
      </c>
      <c r="C42" s="209" t="s">
        <v>223</v>
      </c>
      <c r="D42" s="209" t="s">
        <v>224</v>
      </c>
      <c r="E42" s="209" t="s">
        <v>225</v>
      </c>
      <c r="F42" s="209" t="s">
        <v>226</v>
      </c>
      <c r="G42" s="13"/>
      <c r="H42" s="13"/>
      <c r="I42" s="13"/>
      <c r="J42" s="13"/>
      <c r="K42" s="13"/>
      <c r="L42" s="13"/>
      <c r="M42" s="13"/>
      <c r="N42" s="13"/>
      <c r="O42" s="13"/>
      <c r="P42" s="13"/>
      <c r="Q42" s="13"/>
      <c r="R42" s="13"/>
      <c r="S42" s="13"/>
      <c r="T42" s="13"/>
      <c r="U42" s="13"/>
      <c r="V42" s="13"/>
      <c r="W42" s="13"/>
      <c r="X42" s="13"/>
      <c r="Y42" s="13"/>
      <c r="Z42" s="13"/>
    </row>
    <row r="43" ht="15.75" customHeight="1">
      <c r="A43" s="13">
        <v>1.0</v>
      </c>
      <c r="B43" s="76" t="s">
        <v>227</v>
      </c>
      <c r="C43" s="212">
        <f>unit_three_rto</f>
        <v>37</v>
      </c>
      <c r="D43" s="154">
        <v>0.0</v>
      </c>
      <c r="E43" s="232">
        <f t="shared" ref="E43:E47" si="5">C43*D43</f>
        <v>0</v>
      </c>
      <c r="F43" s="232">
        <f t="shared" ref="F43:F47" si="6">E43*12</f>
        <v>0</v>
      </c>
      <c r="G43" s="13"/>
      <c r="H43" s="13"/>
      <c r="I43" s="13"/>
      <c r="J43" s="13"/>
      <c r="K43" s="13"/>
      <c r="L43" s="13"/>
      <c r="M43" s="13"/>
      <c r="N43" s="13"/>
      <c r="O43" s="13"/>
      <c r="P43" s="13"/>
      <c r="Q43" s="13"/>
      <c r="R43" s="13"/>
      <c r="S43" s="13"/>
      <c r="T43" s="13"/>
      <c r="U43" s="13"/>
      <c r="V43" s="13"/>
      <c r="W43" s="13"/>
      <c r="X43" s="13"/>
      <c r="Y43" s="13"/>
      <c r="Z43" s="13"/>
    </row>
    <row r="44" ht="15.75" customHeight="1">
      <c r="A44" s="13">
        <v>2.0</v>
      </c>
      <c r="B44" s="233" t="s">
        <v>593</v>
      </c>
      <c r="C44" s="217"/>
      <c r="D44" s="113">
        <v>0.0</v>
      </c>
      <c r="E44" s="136">
        <f t="shared" si="5"/>
        <v>0</v>
      </c>
      <c r="F44" s="136">
        <f t="shared" si="6"/>
        <v>0</v>
      </c>
      <c r="G44" s="13"/>
      <c r="H44" s="13"/>
      <c r="I44" s="13"/>
      <c r="J44" s="13"/>
      <c r="K44" s="13"/>
      <c r="L44" s="13"/>
      <c r="M44" s="13"/>
      <c r="N44" s="13"/>
      <c r="O44" s="13"/>
      <c r="P44" s="13"/>
      <c r="Q44" s="13"/>
      <c r="R44" s="13"/>
      <c r="S44" s="13"/>
      <c r="T44" s="13"/>
      <c r="U44" s="13"/>
      <c r="V44" s="13"/>
      <c r="W44" s="13"/>
      <c r="X44" s="13"/>
      <c r="Y44" s="13"/>
      <c r="Z44" s="13"/>
    </row>
    <row r="45" ht="15.75" customHeight="1">
      <c r="A45" s="13">
        <v>3.0</v>
      </c>
      <c r="B45" s="234" t="s">
        <v>228</v>
      </c>
      <c r="C45" s="217"/>
      <c r="D45" s="113"/>
      <c r="E45" s="136">
        <f t="shared" si="5"/>
        <v>0</v>
      </c>
      <c r="F45" s="136">
        <f t="shared" si="6"/>
        <v>0</v>
      </c>
      <c r="G45" s="13"/>
      <c r="H45" s="13"/>
      <c r="I45" s="13"/>
      <c r="J45" s="13"/>
      <c r="K45" s="13"/>
      <c r="L45" s="13"/>
      <c r="M45" s="13"/>
      <c r="N45" s="13"/>
      <c r="O45" s="13"/>
      <c r="P45" s="13"/>
      <c r="Q45" s="13"/>
      <c r="R45" s="13"/>
      <c r="S45" s="13"/>
      <c r="T45" s="13"/>
      <c r="U45" s="13"/>
      <c r="V45" s="13"/>
      <c r="W45" s="13"/>
      <c r="X45" s="13"/>
      <c r="Y45" s="13"/>
      <c r="Z45" s="13"/>
    </row>
    <row r="46" ht="15.75" customHeight="1">
      <c r="A46" s="13">
        <v>4.0</v>
      </c>
      <c r="B46" s="233" t="s">
        <v>229</v>
      </c>
      <c r="C46" s="217"/>
      <c r="D46" s="113"/>
      <c r="E46" s="136">
        <f t="shared" si="5"/>
        <v>0</v>
      </c>
      <c r="F46" s="136">
        <f t="shared" si="6"/>
        <v>0</v>
      </c>
      <c r="G46" s="13"/>
      <c r="H46" s="13"/>
      <c r="I46" s="13"/>
      <c r="J46" s="13"/>
      <c r="K46" s="13"/>
      <c r="L46" s="13"/>
      <c r="M46" s="13"/>
      <c r="N46" s="13"/>
      <c r="O46" s="13"/>
      <c r="P46" s="13"/>
      <c r="Q46" s="13"/>
      <c r="R46" s="13"/>
      <c r="S46" s="13"/>
      <c r="T46" s="13"/>
      <c r="U46" s="13"/>
      <c r="V46" s="13"/>
      <c r="W46" s="13"/>
      <c r="X46" s="13"/>
      <c r="Y46" s="13"/>
      <c r="Z46" s="13"/>
    </row>
    <row r="47" ht="15.75" customHeight="1">
      <c r="A47" s="13">
        <v>5.0</v>
      </c>
      <c r="B47" s="235" t="s">
        <v>230</v>
      </c>
      <c r="C47" s="236"/>
      <c r="D47" s="237"/>
      <c r="E47" s="238">
        <f t="shared" si="5"/>
        <v>0</v>
      </c>
      <c r="F47" s="238">
        <f t="shared" si="6"/>
        <v>0</v>
      </c>
      <c r="G47" s="13"/>
      <c r="H47" s="13"/>
      <c r="I47" s="13"/>
      <c r="J47" s="13"/>
      <c r="K47" s="13"/>
      <c r="L47" s="13"/>
      <c r="M47" s="13"/>
      <c r="N47" s="13"/>
      <c r="O47" s="13"/>
      <c r="P47" s="13"/>
      <c r="Q47" s="13"/>
      <c r="R47" s="13"/>
      <c r="S47" s="13"/>
      <c r="T47" s="13"/>
      <c r="U47" s="13"/>
      <c r="V47" s="13"/>
      <c r="W47" s="13"/>
      <c r="X47" s="13"/>
      <c r="Y47" s="13"/>
      <c r="Z47" s="13"/>
    </row>
    <row r="48" ht="15.75" customHeight="1">
      <c r="A48" s="13"/>
      <c r="B48" s="230"/>
      <c r="C48" s="13"/>
      <c r="D48" s="13"/>
      <c r="E48" s="90" t="s">
        <v>231</v>
      </c>
      <c r="F48" s="75">
        <f>SUM(F43:F47)</f>
        <v>0</v>
      </c>
      <c r="G48" s="13"/>
      <c r="H48" s="13"/>
      <c r="I48" s="13"/>
      <c r="J48" s="13"/>
      <c r="K48" s="13"/>
      <c r="L48" s="13"/>
      <c r="M48" s="13"/>
      <c r="N48" s="13"/>
      <c r="O48" s="13"/>
      <c r="P48" s="13"/>
      <c r="Q48" s="13"/>
      <c r="R48" s="13"/>
      <c r="S48" s="13"/>
      <c r="T48" s="13"/>
      <c r="U48" s="13"/>
      <c r="V48" s="13"/>
      <c r="W48" s="13"/>
      <c r="X48" s="13"/>
      <c r="Y48" s="13"/>
      <c r="Z48" s="13"/>
    </row>
    <row r="49" ht="15.75" customHeight="1">
      <c r="A49" s="13"/>
      <c r="B49" s="231" t="s">
        <v>232</v>
      </c>
      <c r="C49" s="13"/>
      <c r="D49" s="13"/>
      <c r="E49" s="90"/>
      <c r="F49" s="57"/>
      <c r="G49" s="13"/>
      <c r="H49" s="13"/>
      <c r="I49" s="13"/>
      <c r="J49" s="13"/>
      <c r="K49" s="13"/>
      <c r="L49" s="13"/>
      <c r="M49" s="13"/>
      <c r="N49" s="13"/>
      <c r="O49" s="13"/>
      <c r="P49" s="13"/>
      <c r="Q49" s="13"/>
      <c r="R49" s="13"/>
      <c r="S49" s="13"/>
      <c r="T49" s="13"/>
      <c r="U49" s="13"/>
      <c r="V49" s="13"/>
      <c r="W49" s="13"/>
      <c r="X49" s="13"/>
      <c r="Y49" s="13"/>
      <c r="Z49" s="13"/>
    </row>
    <row r="50" ht="15.75" customHeight="1">
      <c r="A50" s="13"/>
      <c r="B50" s="231"/>
      <c r="C50" s="13"/>
      <c r="D50" s="13"/>
      <c r="E50" s="90"/>
      <c r="F50" s="57"/>
      <c r="G50" s="13"/>
      <c r="H50" s="13"/>
      <c r="I50" s="13"/>
      <c r="J50" s="13"/>
      <c r="K50" s="13"/>
      <c r="L50" s="13"/>
      <c r="M50" s="13"/>
      <c r="N50" s="13"/>
      <c r="O50" s="13"/>
      <c r="P50" s="13"/>
      <c r="Q50" s="13"/>
      <c r="R50" s="13"/>
      <c r="S50" s="13"/>
      <c r="T50" s="13"/>
      <c r="U50" s="13"/>
      <c r="V50" s="13"/>
      <c r="W50" s="13"/>
      <c r="X50" s="13"/>
      <c r="Y50" s="13"/>
      <c r="Z50" s="13"/>
    </row>
    <row r="51" ht="15.75" customHeight="1">
      <c r="A51" s="13"/>
      <c r="B51" s="208" t="s">
        <v>233</v>
      </c>
      <c r="C51" s="208" t="s">
        <v>234</v>
      </c>
      <c r="D51" s="208" t="s">
        <v>235</v>
      </c>
      <c r="E51" s="208" t="s">
        <v>236</v>
      </c>
      <c r="F51" s="239" t="s">
        <v>189</v>
      </c>
      <c r="G51" s="239" t="s">
        <v>192</v>
      </c>
      <c r="H51" s="208" t="s">
        <v>237</v>
      </c>
      <c r="I51" s="208" t="s">
        <v>238</v>
      </c>
      <c r="J51" s="208" t="s">
        <v>239</v>
      </c>
      <c r="K51" s="239" t="s">
        <v>226</v>
      </c>
      <c r="L51" s="13"/>
      <c r="M51" s="13"/>
      <c r="N51" s="13"/>
      <c r="O51" s="13"/>
      <c r="P51" s="13"/>
      <c r="Q51" s="13"/>
      <c r="R51" s="13"/>
      <c r="S51" s="13"/>
      <c r="T51" s="13"/>
      <c r="U51" s="13"/>
      <c r="V51" s="13"/>
      <c r="W51" s="13"/>
      <c r="X51" s="13"/>
      <c r="Y51" s="13"/>
      <c r="Z51" s="13"/>
    </row>
    <row r="52" ht="15.75" customHeight="1">
      <c r="A52" s="13">
        <v>1.0</v>
      </c>
      <c r="B52" s="76" t="s">
        <v>240</v>
      </c>
      <c r="C52" s="76"/>
      <c r="D52" s="240"/>
      <c r="E52" s="241"/>
      <c r="F52" s="114">
        <f t="shared" ref="F52:F61" si="7">G52/12</f>
        <v>0</v>
      </c>
      <c r="G52" s="114">
        <f t="shared" ref="G52:G61" si="8">E52*D52</f>
        <v>0</v>
      </c>
      <c r="H52" s="242"/>
      <c r="I52" s="243"/>
      <c r="J52" s="244"/>
      <c r="K52" s="84">
        <f t="shared" ref="K52:K61" si="9">(H52*D52)+(I52*D52)+(J52*D52)+G52</f>
        <v>0</v>
      </c>
      <c r="L52" s="13"/>
      <c r="M52" s="13"/>
      <c r="N52" s="13"/>
      <c r="O52" s="13"/>
      <c r="P52" s="13"/>
      <c r="Q52" s="13"/>
      <c r="R52" s="13"/>
      <c r="S52" s="13"/>
      <c r="T52" s="13"/>
      <c r="U52" s="13"/>
      <c r="V52" s="13"/>
      <c r="W52" s="13"/>
      <c r="X52" s="13"/>
      <c r="Y52" s="13"/>
      <c r="Z52" s="13"/>
    </row>
    <row r="53" ht="15.75" customHeight="1">
      <c r="A53" s="13">
        <v>2.0</v>
      </c>
      <c r="B53" s="216" t="s">
        <v>241</v>
      </c>
      <c r="C53" s="216"/>
      <c r="D53" s="245"/>
      <c r="E53" s="115"/>
      <c r="F53" s="114">
        <f t="shared" si="7"/>
        <v>0</v>
      </c>
      <c r="G53" s="114">
        <f t="shared" si="8"/>
        <v>0</v>
      </c>
      <c r="H53" s="246"/>
      <c r="I53" s="247"/>
      <c r="J53" s="248"/>
      <c r="K53" s="84">
        <f t="shared" si="9"/>
        <v>0</v>
      </c>
      <c r="L53" s="13"/>
      <c r="M53" s="13"/>
      <c r="N53" s="13"/>
      <c r="O53" s="13"/>
      <c r="P53" s="13"/>
      <c r="Q53" s="13"/>
      <c r="R53" s="13"/>
      <c r="S53" s="13"/>
      <c r="T53" s="13"/>
      <c r="U53" s="13"/>
      <c r="V53" s="13"/>
      <c r="W53" s="13"/>
      <c r="X53" s="13"/>
      <c r="Y53" s="13"/>
      <c r="Z53" s="13"/>
    </row>
    <row r="54" ht="15.75" customHeight="1">
      <c r="A54" s="13">
        <v>3.0</v>
      </c>
      <c r="B54" s="216" t="s">
        <v>242</v>
      </c>
      <c r="C54" s="216"/>
      <c r="D54" s="245"/>
      <c r="E54" s="115"/>
      <c r="F54" s="114">
        <f t="shared" si="7"/>
        <v>0</v>
      </c>
      <c r="G54" s="114">
        <f t="shared" si="8"/>
        <v>0</v>
      </c>
      <c r="H54" s="246"/>
      <c r="I54" s="247"/>
      <c r="J54" s="248"/>
      <c r="K54" s="84">
        <f t="shared" si="9"/>
        <v>0</v>
      </c>
      <c r="L54" s="13"/>
      <c r="M54" s="13"/>
      <c r="N54" s="13"/>
      <c r="O54" s="13"/>
      <c r="P54" s="13"/>
      <c r="Q54" s="13"/>
      <c r="R54" s="13"/>
      <c r="S54" s="13"/>
      <c r="T54" s="13"/>
      <c r="U54" s="13"/>
      <c r="V54" s="13"/>
      <c r="W54" s="13"/>
      <c r="X54" s="13"/>
      <c r="Y54" s="13"/>
      <c r="Z54" s="13"/>
    </row>
    <row r="55" ht="15.75" customHeight="1">
      <c r="A55" s="13">
        <v>4.0</v>
      </c>
      <c r="B55" s="216" t="s">
        <v>243</v>
      </c>
      <c r="C55" s="216"/>
      <c r="D55" s="245"/>
      <c r="E55" s="115"/>
      <c r="F55" s="114">
        <f t="shared" si="7"/>
        <v>0</v>
      </c>
      <c r="G55" s="114">
        <f t="shared" si="8"/>
        <v>0</v>
      </c>
      <c r="H55" s="246"/>
      <c r="I55" s="247"/>
      <c r="J55" s="248"/>
      <c r="K55" s="84">
        <f t="shared" si="9"/>
        <v>0</v>
      </c>
      <c r="L55" s="13"/>
      <c r="M55" s="13"/>
      <c r="N55" s="13"/>
      <c r="O55" s="13"/>
      <c r="P55" s="13"/>
      <c r="Q55" s="13"/>
      <c r="R55" s="13"/>
      <c r="S55" s="13"/>
      <c r="T55" s="13"/>
      <c r="U55" s="13"/>
      <c r="V55" s="13"/>
      <c r="W55" s="13"/>
      <c r="X55" s="13"/>
      <c r="Y55" s="13"/>
      <c r="Z55" s="13"/>
    </row>
    <row r="56" ht="15.75" customHeight="1">
      <c r="A56" s="13">
        <v>5.0</v>
      </c>
      <c r="B56" s="216" t="s">
        <v>244</v>
      </c>
      <c r="C56" s="216"/>
      <c r="D56" s="245"/>
      <c r="E56" s="115"/>
      <c r="F56" s="114">
        <f t="shared" si="7"/>
        <v>0</v>
      </c>
      <c r="G56" s="114">
        <f t="shared" si="8"/>
        <v>0</v>
      </c>
      <c r="H56" s="246"/>
      <c r="I56" s="247"/>
      <c r="J56" s="248"/>
      <c r="K56" s="84">
        <f t="shared" si="9"/>
        <v>0</v>
      </c>
      <c r="L56" s="13"/>
      <c r="M56" s="13"/>
      <c r="N56" s="13"/>
      <c r="O56" s="13"/>
      <c r="P56" s="13"/>
      <c r="Q56" s="13"/>
      <c r="R56" s="13"/>
      <c r="S56" s="13"/>
      <c r="T56" s="13"/>
      <c r="U56" s="13"/>
      <c r="V56" s="13"/>
      <c r="W56" s="13"/>
      <c r="X56" s="13"/>
      <c r="Y56" s="13"/>
      <c r="Z56" s="13"/>
    </row>
    <row r="57" ht="15.75" customHeight="1">
      <c r="A57" s="13">
        <v>6.0</v>
      </c>
      <c r="B57" s="216" t="s">
        <v>245</v>
      </c>
      <c r="C57" s="216"/>
      <c r="D57" s="245"/>
      <c r="E57" s="115"/>
      <c r="F57" s="114">
        <f t="shared" si="7"/>
        <v>0</v>
      </c>
      <c r="G57" s="114">
        <f t="shared" si="8"/>
        <v>0</v>
      </c>
      <c r="H57" s="246"/>
      <c r="I57" s="247"/>
      <c r="J57" s="248"/>
      <c r="K57" s="84">
        <f t="shared" si="9"/>
        <v>0</v>
      </c>
      <c r="L57" s="13"/>
      <c r="M57" s="13"/>
      <c r="N57" s="13"/>
      <c r="O57" s="13"/>
      <c r="P57" s="13"/>
      <c r="Q57" s="13"/>
      <c r="R57" s="13"/>
      <c r="S57" s="13"/>
      <c r="T57" s="13"/>
      <c r="U57" s="13"/>
      <c r="V57" s="13"/>
      <c r="W57" s="13"/>
      <c r="X57" s="13"/>
      <c r="Y57" s="13"/>
      <c r="Z57" s="13"/>
    </row>
    <row r="58" ht="15.75" customHeight="1">
      <c r="A58" s="13">
        <v>7.0</v>
      </c>
      <c r="B58" s="216" t="s">
        <v>246</v>
      </c>
      <c r="C58" s="216"/>
      <c r="D58" s="245"/>
      <c r="E58" s="115"/>
      <c r="F58" s="114">
        <f t="shared" si="7"/>
        <v>0</v>
      </c>
      <c r="G58" s="114">
        <f t="shared" si="8"/>
        <v>0</v>
      </c>
      <c r="H58" s="246"/>
      <c r="I58" s="247"/>
      <c r="J58" s="248"/>
      <c r="K58" s="84">
        <f t="shared" si="9"/>
        <v>0</v>
      </c>
      <c r="L58" s="13"/>
      <c r="M58" s="13"/>
      <c r="N58" s="13"/>
      <c r="O58" s="13"/>
      <c r="P58" s="13"/>
      <c r="Q58" s="13"/>
      <c r="R58" s="13"/>
      <c r="S58" s="13"/>
      <c r="T58" s="13"/>
      <c r="U58" s="13"/>
      <c r="V58" s="13"/>
      <c r="W58" s="13"/>
      <c r="X58" s="13"/>
      <c r="Y58" s="13"/>
      <c r="Z58" s="13"/>
    </row>
    <row r="59" ht="15.75" customHeight="1">
      <c r="A59" s="13">
        <v>8.0</v>
      </c>
      <c r="B59" s="216" t="s">
        <v>247</v>
      </c>
      <c r="C59" s="216"/>
      <c r="D59" s="245"/>
      <c r="E59" s="115"/>
      <c r="F59" s="114">
        <f t="shared" si="7"/>
        <v>0</v>
      </c>
      <c r="G59" s="114">
        <f t="shared" si="8"/>
        <v>0</v>
      </c>
      <c r="H59" s="246"/>
      <c r="I59" s="247"/>
      <c r="J59" s="248"/>
      <c r="K59" s="84">
        <f t="shared" si="9"/>
        <v>0</v>
      </c>
      <c r="L59" s="13"/>
      <c r="M59" s="13"/>
      <c r="N59" s="13"/>
      <c r="O59" s="13"/>
      <c r="P59" s="13"/>
      <c r="Q59" s="13"/>
      <c r="R59" s="13"/>
      <c r="S59" s="13"/>
      <c r="T59" s="13"/>
      <c r="U59" s="13"/>
      <c r="V59" s="13"/>
      <c r="W59" s="13"/>
      <c r="X59" s="13"/>
      <c r="Y59" s="13"/>
      <c r="Z59" s="13"/>
    </row>
    <row r="60" ht="15.75" customHeight="1">
      <c r="A60" s="13">
        <v>9.0</v>
      </c>
      <c r="B60" s="216" t="s">
        <v>248</v>
      </c>
      <c r="C60" s="216"/>
      <c r="D60" s="245"/>
      <c r="E60" s="115"/>
      <c r="F60" s="114">
        <f t="shared" si="7"/>
        <v>0</v>
      </c>
      <c r="G60" s="114">
        <f t="shared" si="8"/>
        <v>0</v>
      </c>
      <c r="H60" s="246"/>
      <c r="I60" s="247"/>
      <c r="J60" s="248"/>
      <c r="K60" s="84">
        <f t="shared" si="9"/>
        <v>0</v>
      </c>
      <c r="L60" s="13"/>
      <c r="M60" s="13"/>
      <c r="N60" s="13"/>
      <c r="O60" s="13"/>
      <c r="P60" s="13"/>
      <c r="Q60" s="13"/>
      <c r="R60" s="13"/>
      <c r="S60" s="13"/>
      <c r="T60" s="13"/>
      <c r="U60" s="13"/>
      <c r="V60" s="13"/>
      <c r="W60" s="13"/>
      <c r="X60" s="13"/>
      <c r="Y60" s="13"/>
      <c r="Z60" s="13"/>
    </row>
    <row r="61" ht="15.75" customHeight="1">
      <c r="A61" s="249">
        <v>10.0</v>
      </c>
      <c r="B61" s="250" t="s">
        <v>249</v>
      </c>
      <c r="C61" s="251"/>
      <c r="D61" s="252"/>
      <c r="E61" s="253"/>
      <c r="F61" s="254">
        <f t="shared" si="7"/>
        <v>0</v>
      </c>
      <c r="G61" s="254">
        <f t="shared" si="8"/>
        <v>0</v>
      </c>
      <c r="H61" s="253"/>
      <c r="I61" s="253"/>
      <c r="J61" s="255"/>
      <c r="K61" s="256">
        <f t="shared" si="9"/>
        <v>0</v>
      </c>
      <c r="L61" s="13"/>
      <c r="M61" s="13"/>
      <c r="N61" s="13"/>
      <c r="O61" s="13"/>
      <c r="P61" s="13"/>
      <c r="Q61" s="13"/>
      <c r="R61" s="13"/>
      <c r="S61" s="13"/>
      <c r="T61" s="13"/>
      <c r="U61" s="13"/>
      <c r="V61" s="13"/>
      <c r="W61" s="13"/>
      <c r="X61" s="13"/>
      <c r="Y61" s="13"/>
      <c r="Z61" s="13"/>
    </row>
    <row r="62" ht="15.75" customHeight="1">
      <c r="A62" s="13"/>
      <c r="B62" s="230"/>
      <c r="C62" s="13"/>
      <c r="D62" s="13"/>
      <c r="E62" s="90"/>
      <c r="F62" s="57"/>
      <c r="G62" s="13"/>
      <c r="H62" s="13"/>
      <c r="I62" s="13"/>
      <c r="J62" s="257" t="s">
        <v>250</v>
      </c>
      <c r="K62" s="119">
        <f>SUM(K52:K61)</f>
        <v>0</v>
      </c>
      <c r="L62" s="13"/>
      <c r="M62" s="13"/>
      <c r="N62" s="13"/>
      <c r="O62" s="13"/>
      <c r="P62" s="13"/>
      <c r="Q62" s="13"/>
      <c r="R62" s="13"/>
      <c r="S62" s="13"/>
      <c r="T62" s="13"/>
      <c r="U62" s="13"/>
      <c r="V62" s="13"/>
      <c r="W62" s="13"/>
      <c r="X62" s="13"/>
      <c r="Y62" s="13"/>
      <c r="Z62" s="13"/>
    </row>
    <row r="63" ht="15.75" customHeight="1">
      <c r="A63" s="13"/>
      <c r="B63" s="231" t="s">
        <v>251</v>
      </c>
      <c r="C63" s="13"/>
      <c r="D63" s="13"/>
      <c r="E63" s="13"/>
      <c r="F63" s="13"/>
      <c r="G63" s="13"/>
      <c r="H63" s="13"/>
      <c r="I63" s="13"/>
      <c r="J63" s="13"/>
      <c r="K63" s="13"/>
      <c r="L63" s="13"/>
      <c r="M63" s="13"/>
      <c r="N63" s="13"/>
      <c r="O63" s="13"/>
      <c r="P63" s="13"/>
      <c r="Q63" s="13"/>
      <c r="R63" s="13"/>
      <c r="S63" s="13"/>
      <c r="T63" s="13"/>
      <c r="U63" s="13"/>
      <c r="V63" s="13"/>
      <c r="W63" s="13"/>
      <c r="X63" s="13"/>
      <c r="Y63" s="13"/>
      <c r="Z63" s="13"/>
    </row>
    <row r="64" ht="15.75" customHeight="1">
      <c r="A64" s="249"/>
      <c r="B64" s="13"/>
      <c r="C64" s="182"/>
      <c r="D64" s="13"/>
      <c r="E64" s="13"/>
      <c r="F64" s="13"/>
      <c r="G64" s="13"/>
      <c r="H64" s="13"/>
      <c r="I64" s="13"/>
      <c r="J64" s="13"/>
      <c r="K64" s="13"/>
      <c r="L64" s="13"/>
      <c r="M64" s="13"/>
      <c r="N64" s="13"/>
      <c r="O64" s="13"/>
      <c r="P64" s="13"/>
      <c r="Q64" s="13"/>
      <c r="R64" s="13"/>
      <c r="S64" s="13"/>
      <c r="T64" s="13"/>
      <c r="U64" s="13"/>
      <c r="V64" s="13"/>
      <c r="W64" s="13"/>
      <c r="X64" s="13"/>
      <c r="Y64" s="13"/>
      <c r="Z64" s="13"/>
    </row>
    <row r="65" ht="15.75" customHeight="1">
      <c r="A65" s="249"/>
      <c r="B65" s="258" t="s">
        <v>219</v>
      </c>
      <c r="C65" s="259"/>
      <c r="D65" s="84">
        <f>H38</f>
        <v>704124</v>
      </c>
      <c r="E65" s="13"/>
      <c r="F65" s="13"/>
      <c r="G65" s="13"/>
      <c r="H65" s="13"/>
      <c r="I65" s="13"/>
      <c r="J65" s="13"/>
      <c r="K65" s="13"/>
      <c r="L65" s="13"/>
      <c r="M65" s="13"/>
      <c r="N65" s="13"/>
      <c r="O65" s="13"/>
      <c r="P65" s="13"/>
      <c r="Q65" s="13"/>
      <c r="R65" s="13"/>
      <c r="S65" s="13"/>
      <c r="T65" s="13"/>
      <c r="U65" s="13"/>
      <c r="V65" s="13"/>
      <c r="W65" s="13"/>
      <c r="X65" s="13"/>
      <c r="Y65" s="13"/>
      <c r="Z65" s="13"/>
    </row>
    <row r="66" ht="15.75" customHeight="1">
      <c r="A66" s="249"/>
      <c r="B66" s="260" t="s">
        <v>252</v>
      </c>
      <c r="C66" s="261">
        <f>'Assumptions (P3RTO)'!D43</f>
        <v>0.07</v>
      </c>
      <c r="D66" s="262">
        <f>D65*-C66</f>
        <v>-49288.68</v>
      </c>
      <c r="E66" s="95" t="s">
        <v>253</v>
      </c>
      <c r="F66" s="13"/>
      <c r="G66" s="13"/>
      <c r="H66" s="13"/>
      <c r="I66" s="13"/>
      <c r="J66" s="13"/>
      <c r="K66" s="13"/>
      <c r="L66" s="13"/>
      <c r="M66" s="13"/>
      <c r="N66" s="13"/>
      <c r="O66" s="13"/>
      <c r="P66" s="13"/>
      <c r="Q66" s="13"/>
      <c r="R66" s="13"/>
      <c r="S66" s="13"/>
      <c r="T66" s="13"/>
      <c r="U66" s="13"/>
      <c r="V66" s="13"/>
      <c r="W66" s="13"/>
      <c r="X66" s="13"/>
      <c r="Y66" s="13"/>
      <c r="Z66" s="13"/>
    </row>
    <row r="67" ht="15.75" customHeight="1">
      <c r="A67" s="13"/>
      <c r="B67" s="230"/>
      <c r="C67" s="34" t="s">
        <v>254</v>
      </c>
      <c r="D67" s="263">
        <f>SUM(D65:D66)</f>
        <v>654835.32</v>
      </c>
      <c r="E67" s="13"/>
      <c r="F67" s="13"/>
      <c r="G67" s="13"/>
      <c r="H67" s="13"/>
      <c r="I67" s="13"/>
      <c r="J67" s="13"/>
      <c r="K67" s="13"/>
      <c r="L67" s="13"/>
      <c r="M67" s="13"/>
      <c r="N67" s="13"/>
      <c r="O67" s="13"/>
      <c r="P67" s="13"/>
      <c r="Q67" s="13"/>
      <c r="R67" s="13"/>
      <c r="S67" s="13"/>
      <c r="T67" s="13"/>
      <c r="U67" s="13"/>
      <c r="V67" s="13"/>
      <c r="W67" s="13"/>
      <c r="X67" s="13"/>
      <c r="Y67" s="13"/>
      <c r="Z67" s="13"/>
    </row>
    <row r="68" ht="15.75" customHeight="1">
      <c r="A68" s="13"/>
      <c r="B68" s="230"/>
      <c r="C68" s="13"/>
      <c r="D68" s="13"/>
      <c r="E68" s="13"/>
      <c r="F68" s="13"/>
      <c r="G68" s="13"/>
      <c r="H68" s="13"/>
      <c r="I68" s="13"/>
      <c r="J68" s="13"/>
      <c r="K68" s="13"/>
      <c r="L68" s="13"/>
      <c r="M68" s="13"/>
      <c r="N68" s="13"/>
      <c r="O68" s="13"/>
      <c r="P68" s="13"/>
      <c r="Q68" s="13"/>
      <c r="R68" s="13"/>
      <c r="S68" s="13"/>
      <c r="T68" s="13"/>
      <c r="U68" s="13"/>
      <c r="V68" s="13"/>
      <c r="W68" s="13"/>
      <c r="X68" s="13"/>
      <c r="Y68" s="13"/>
      <c r="Z68" s="13"/>
    </row>
    <row r="69" ht="15.75" customHeight="1">
      <c r="A69" s="13"/>
      <c r="B69" s="264" t="s">
        <v>250</v>
      </c>
      <c r="C69" s="259"/>
      <c r="D69" s="84">
        <f>K62</f>
        <v>0</v>
      </c>
      <c r="E69" s="13"/>
      <c r="F69" s="13"/>
      <c r="G69" s="13"/>
      <c r="H69" s="13"/>
      <c r="I69" s="13"/>
      <c r="J69" s="13"/>
      <c r="K69" s="13"/>
      <c r="L69" s="13"/>
      <c r="M69" s="13"/>
      <c r="N69" s="13"/>
      <c r="O69" s="13"/>
      <c r="P69" s="13"/>
      <c r="Q69" s="13"/>
      <c r="R69" s="13"/>
      <c r="S69" s="13"/>
      <c r="T69" s="13"/>
      <c r="U69" s="13"/>
      <c r="V69" s="13"/>
      <c r="W69" s="13"/>
      <c r="X69" s="13"/>
      <c r="Y69" s="13"/>
      <c r="Z69" s="13"/>
    </row>
    <row r="70" ht="15.75" customHeight="1">
      <c r="A70" s="13"/>
      <c r="B70" s="260" t="s">
        <v>255</v>
      </c>
      <c r="C70" s="261">
        <v>0.0</v>
      </c>
      <c r="D70" s="262">
        <f>D69*-C70</f>
        <v>0</v>
      </c>
      <c r="E70" s="95" t="s">
        <v>253</v>
      </c>
      <c r="F70" s="13"/>
      <c r="G70" s="13"/>
      <c r="H70" s="13"/>
      <c r="I70" s="13"/>
      <c r="J70" s="13"/>
      <c r="K70" s="13"/>
      <c r="L70" s="13"/>
      <c r="M70" s="13"/>
      <c r="N70" s="13"/>
      <c r="O70" s="13"/>
      <c r="P70" s="13"/>
      <c r="Q70" s="13"/>
      <c r="R70" s="13"/>
      <c r="S70" s="13"/>
      <c r="T70" s="13"/>
      <c r="U70" s="13"/>
      <c r="V70" s="13"/>
      <c r="W70" s="13"/>
      <c r="X70" s="13"/>
      <c r="Y70" s="13"/>
      <c r="Z70" s="13"/>
    </row>
    <row r="71" ht="15.75" customHeight="1">
      <c r="A71" s="13"/>
      <c r="B71" s="230"/>
      <c r="C71" s="34" t="s">
        <v>256</v>
      </c>
      <c r="D71" s="263">
        <f>SUM(D69:D70)</f>
        <v>0</v>
      </c>
      <c r="E71" s="13"/>
      <c r="F71" s="13"/>
      <c r="G71" s="13"/>
      <c r="H71" s="13"/>
      <c r="I71" s="13"/>
      <c r="J71" s="13"/>
      <c r="K71" s="13"/>
      <c r="L71" s="13"/>
      <c r="M71" s="13"/>
      <c r="N71" s="13"/>
      <c r="O71" s="13"/>
      <c r="P71" s="13"/>
      <c r="Q71" s="13"/>
      <c r="R71" s="13"/>
      <c r="S71" s="13"/>
      <c r="T71" s="13"/>
      <c r="U71" s="13"/>
      <c r="V71" s="13"/>
      <c r="W71" s="13"/>
      <c r="X71" s="13"/>
      <c r="Y71" s="13"/>
      <c r="Z71" s="13"/>
    </row>
    <row r="72" ht="15.75" customHeight="1">
      <c r="A72" s="13"/>
      <c r="B72" s="230"/>
      <c r="C72" s="34"/>
      <c r="D72" s="93"/>
      <c r="E72" s="13"/>
      <c r="F72" s="13"/>
      <c r="G72" s="13"/>
      <c r="H72" s="13"/>
      <c r="I72" s="13"/>
      <c r="J72" s="13"/>
      <c r="K72" s="13"/>
      <c r="L72" s="13"/>
      <c r="M72" s="13"/>
      <c r="N72" s="13"/>
      <c r="O72" s="13"/>
      <c r="P72" s="13"/>
      <c r="Q72" s="13"/>
      <c r="R72" s="13"/>
      <c r="S72" s="13"/>
      <c r="T72" s="13"/>
      <c r="U72" s="13"/>
      <c r="V72" s="13"/>
      <c r="W72" s="13"/>
      <c r="X72" s="13"/>
      <c r="Y72" s="13"/>
      <c r="Z72" s="13"/>
    </row>
    <row r="73" ht="15.75" customHeight="1">
      <c r="A73" s="13"/>
      <c r="B73" s="230"/>
      <c r="C73" s="34" t="s">
        <v>231</v>
      </c>
      <c r="D73" s="265">
        <f>F48</f>
        <v>0</v>
      </c>
      <c r="E73" s="13"/>
      <c r="F73" s="13"/>
      <c r="G73" s="13"/>
      <c r="H73" s="13"/>
      <c r="I73" s="13"/>
      <c r="J73" s="13"/>
      <c r="K73" s="13"/>
      <c r="L73" s="13"/>
      <c r="M73" s="13"/>
      <c r="N73" s="13"/>
      <c r="O73" s="13"/>
      <c r="P73" s="13"/>
      <c r="Q73" s="13"/>
      <c r="R73" s="13"/>
      <c r="S73" s="13"/>
      <c r="T73" s="13"/>
      <c r="U73" s="13"/>
      <c r="V73" s="13"/>
      <c r="W73" s="13"/>
      <c r="X73" s="13"/>
      <c r="Y73" s="13"/>
      <c r="Z73" s="13"/>
    </row>
    <row r="74" ht="15.75" customHeight="1">
      <c r="A74" s="13"/>
      <c r="B74" s="230"/>
      <c r="C74" s="13"/>
      <c r="D74" s="13"/>
      <c r="E74" s="13"/>
      <c r="F74" s="13"/>
      <c r="G74" s="13"/>
      <c r="H74" s="13"/>
      <c r="I74" s="13"/>
      <c r="J74" s="13"/>
      <c r="K74" s="13"/>
      <c r="L74" s="13"/>
      <c r="M74" s="13"/>
      <c r="N74" s="13"/>
      <c r="O74" s="13"/>
      <c r="P74" s="13"/>
      <c r="Q74" s="13"/>
      <c r="R74" s="13"/>
      <c r="S74" s="13"/>
      <c r="T74" s="13"/>
      <c r="U74" s="13"/>
      <c r="V74" s="13"/>
      <c r="W74" s="13"/>
      <c r="X74" s="13"/>
      <c r="Y74" s="13"/>
      <c r="Z74" s="13"/>
    </row>
    <row r="75" ht="15.75" customHeight="1">
      <c r="A75" s="13"/>
      <c r="B75" s="174"/>
      <c r="C75" s="266" t="s">
        <v>257</v>
      </c>
      <c r="D75" s="267">
        <f>D67+D71+D73</f>
        <v>654835.32</v>
      </c>
      <c r="E75" s="13"/>
      <c r="F75" s="13"/>
      <c r="G75" s="13"/>
      <c r="H75" s="13"/>
      <c r="I75" s="13"/>
      <c r="J75" s="13"/>
      <c r="K75" s="13"/>
      <c r="L75" s="13"/>
      <c r="M75" s="13"/>
      <c r="N75" s="13"/>
      <c r="O75" s="13"/>
      <c r="P75" s="13"/>
      <c r="Q75" s="13"/>
      <c r="R75" s="13"/>
      <c r="S75" s="13"/>
      <c r="T75" s="13"/>
      <c r="U75" s="13"/>
      <c r="V75" s="13"/>
      <c r="W75" s="13"/>
      <c r="X75" s="13"/>
      <c r="Y75" s="13"/>
      <c r="Z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ht="15.75" customHeight="1">
      <c r="A78" s="13"/>
      <c r="B78" s="206" t="s">
        <v>258</v>
      </c>
      <c r="C78" s="37"/>
      <c r="D78" s="37"/>
      <c r="E78" s="37"/>
      <c r="F78" s="37"/>
      <c r="G78" s="37"/>
      <c r="H78" s="37"/>
      <c r="I78" s="13"/>
      <c r="J78" s="13"/>
      <c r="K78" s="13"/>
      <c r="L78" s="13"/>
      <c r="M78" s="13"/>
      <c r="N78" s="13"/>
      <c r="O78" s="13"/>
      <c r="P78" s="13"/>
      <c r="Q78" s="13"/>
      <c r="R78" s="13"/>
      <c r="S78" s="13"/>
      <c r="T78" s="13"/>
      <c r="U78" s="13"/>
      <c r="V78" s="13"/>
      <c r="W78" s="13"/>
      <c r="X78" s="13"/>
      <c r="Y78" s="13"/>
      <c r="Z78" s="13"/>
    </row>
    <row r="79" ht="15.7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ht="15.75" customHeight="1">
      <c r="A80" s="13"/>
      <c r="B80" s="268"/>
      <c r="C80" s="269"/>
      <c r="D80" s="269"/>
      <c r="E80" s="269"/>
      <c r="F80" s="13"/>
      <c r="G80" s="13"/>
      <c r="H80" s="13"/>
      <c r="I80" s="13"/>
      <c r="J80" s="13"/>
      <c r="K80" s="13"/>
      <c r="L80" s="13"/>
      <c r="M80" s="13"/>
      <c r="N80" s="13"/>
      <c r="O80" s="13"/>
      <c r="P80" s="13"/>
      <c r="Q80" s="13"/>
      <c r="R80" s="13"/>
      <c r="S80" s="13"/>
      <c r="T80" s="13"/>
      <c r="U80" s="13"/>
      <c r="V80" s="13"/>
      <c r="W80" s="13"/>
      <c r="X80" s="13"/>
      <c r="Y80" s="13"/>
      <c r="Z80" s="13"/>
    </row>
    <row r="81" ht="15.75" customHeight="1">
      <c r="A81" s="13"/>
      <c r="B81" s="270" t="s">
        <v>259</v>
      </c>
      <c r="C81" s="271" t="s">
        <v>260</v>
      </c>
      <c r="D81" s="271" t="s">
        <v>261</v>
      </c>
      <c r="E81" s="271" t="s">
        <v>262</v>
      </c>
      <c r="F81" s="13"/>
      <c r="G81" s="13"/>
      <c r="H81" s="13"/>
      <c r="I81" s="13"/>
      <c r="J81" s="13"/>
      <c r="K81" s="13"/>
      <c r="L81" s="13"/>
      <c r="M81" s="13"/>
      <c r="N81" s="13"/>
      <c r="O81" s="13"/>
      <c r="P81" s="13"/>
      <c r="Q81" s="13"/>
      <c r="R81" s="13"/>
      <c r="S81" s="13"/>
      <c r="T81" s="13"/>
      <c r="U81" s="13"/>
      <c r="V81" s="13"/>
      <c r="W81" s="13"/>
      <c r="X81" s="13"/>
      <c r="Y81" s="13"/>
      <c r="Z81" s="13"/>
    </row>
    <row r="82" ht="15.75" customHeight="1">
      <c r="A82" s="13"/>
      <c r="B82" s="230" t="s">
        <v>263</v>
      </c>
      <c r="C82" s="272">
        <f>egi_three_rto*'Assumptions (P3RTO)'!D51</f>
        <v>32741.766</v>
      </c>
      <c r="D82" s="273">
        <f>C82/unit_three_rto</f>
        <v>884.9125946</v>
      </c>
      <c r="E82" s="274">
        <f>C82/egi_three_rto</f>
        <v>0.05</v>
      </c>
      <c r="F82" s="13"/>
      <c r="G82" s="75"/>
      <c r="H82" s="13"/>
      <c r="I82" s="13"/>
      <c r="J82" s="13"/>
      <c r="K82" s="13"/>
      <c r="L82" s="13"/>
      <c r="M82" s="13"/>
      <c r="N82" s="13"/>
      <c r="O82" s="13"/>
      <c r="P82" s="13"/>
      <c r="Q82" s="13"/>
      <c r="R82" s="13"/>
      <c r="S82" s="13"/>
      <c r="T82" s="13"/>
      <c r="U82" s="13"/>
      <c r="V82" s="13"/>
      <c r="W82" s="13"/>
      <c r="X82" s="13"/>
      <c r="Y82" s="13"/>
      <c r="Z82" s="13"/>
    </row>
    <row r="83" ht="15.75" customHeight="1">
      <c r="A83" s="13"/>
      <c r="B83" s="230" t="s">
        <v>264</v>
      </c>
      <c r="C83" s="218">
        <f>'Assumptions (P3RTO)'!D52</f>
        <v>80000</v>
      </c>
      <c r="D83" s="273">
        <f>C83/unit_three_rto</f>
        <v>2162.162162</v>
      </c>
      <c r="E83" s="274">
        <f>C83/egi_three_rto</f>
        <v>0.1221681201</v>
      </c>
      <c r="F83" s="13"/>
      <c r="G83" s="13"/>
      <c r="H83" s="13"/>
      <c r="I83" s="13"/>
      <c r="J83" s="13"/>
      <c r="K83" s="13"/>
      <c r="L83" s="13"/>
      <c r="M83" s="13"/>
      <c r="N83" s="13"/>
      <c r="O83" s="13"/>
      <c r="P83" s="13"/>
      <c r="Q83" s="13"/>
      <c r="R83" s="13"/>
      <c r="S83" s="13"/>
      <c r="T83" s="13"/>
      <c r="U83" s="13"/>
      <c r="V83" s="13"/>
      <c r="W83" s="13"/>
      <c r="X83" s="13"/>
      <c r="Y83" s="13"/>
      <c r="Z83" s="13"/>
    </row>
    <row r="84" ht="15.75" customHeight="1">
      <c r="A84" s="13"/>
      <c r="B84" s="230" t="s">
        <v>265</v>
      </c>
      <c r="C84" s="218">
        <f>'Assumptions (P3RTO)'!D53</f>
        <v>10000</v>
      </c>
      <c r="D84" s="273">
        <f>C84/unit_three_rto</f>
        <v>270.2702703</v>
      </c>
      <c r="E84" s="274">
        <f>C84/egi_three_rto</f>
        <v>0.01527101501</v>
      </c>
      <c r="F84" s="13"/>
      <c r="G84" s="13"/>
      <c r="H84" s="13"/>
      <c r="I84" s="13"/>
      <c r="J84" s="13"/>
      <c r="K84" s="13"/>
      <c r="L84" s="13"/>
      <c r="M84" s="13"/>
      <c r="N84" s="13"/>
      <c r="O84" s="13"/>
      <c r="P84" s="13"/>
      <c r="Q84" s="13"/>
      <c r="R84" s="13"/>
      <c r="S84" s="13"/>
      <c r="T84" s="13"/>
      <c r="U84" s="13"/>
      <c r="V84" s="13"/>
      <c r="W84" s="13"/>
      <c r="X84" s="13"/>
      <c r="Y84" s="13"/>
      <c r="Z84" s="13"/>
    </row>
    <row r="85" ht="15.75" customHeight="1">
      <c r="A85" s="13"/>
      <c r="B85" s="230" t="s">
        <v>266</v>
      </c>
      <c r="C85" s="218">
        <f>'Assumptions (P3RTO)'!D54</f>
        <v>10000</v>
      </c>
      <c r="D85" s="273">
        <f>C85/unit_three_rto</f>
        <v>270.2702703</v>
      </c>
      <c r="E85" s="274">
        <f>C85/egi_three_rto</f>
        <v>0.01527101501</v>
      </c>
      <c r="F85" s="13"/>
      <c r="G85" s="13"/>
      <c r="H85" s="13"/>
      <c r="I85" s="13"/>
      <c r="J85" s="13"/>
      <c r="K85" s="13"/>
      <c r="L85" s="13"/>
      <c r="M85" s="13"/>
      <c r="N85" s="13"/>
      <c r="O85" s="13"/>
      <c r="P85" s="13"/>
      <c r="Q85" s="13"/>
      <c r="R85" s="13"/>
      <c r="S85" s="13"/>
      <c r="T85" s="13"/>
      <c r="U85" s="13"/>
      <c r="V85" s="13"/>
      <c r="W85" s="13"/>
      <c r="X85" s="13"/>
      <c r="Y85" s="13"/>
      <c r="Z85" s="13"/>
    </row>
    <row r="86" ht="15.75" customHeight="1">
      <c r="A86" s="13"/>
      <c r="B86" s="230" t="s">
        <v>267</v>
      </c>
      <c r="C86" s="218">
        <f>'Assumptions (P3RTO)'!D55</f>
        <v>5000</v>
      </c>
      <c r="D86" s="273">
        <f>C86/unit_three_rto</f>
        <v>135.1351351</v>
      </c>
      <c r="E86" s="274">
        <f>C86/egi_three_rto</f>
        <v>0.007635507504</v>
      </c>
      <c r="F86" s="13"/>
      <c r="G86" s="13"/>
      <c r="H86" s="13"/>
      <c r="I86" s="13"/>
      <c r="J86" s="13"/>
      <c r="K86" s="13"/>
      <c r="L86" s="13"/>
      <c r="M86" s="13"/>
      <c r="N86" s="13"/>
      <c r="O86" s="13"/>
      <c r="P86" s="13"/>
      <c r="Q86" s="13"/>
      <c r="R86" s="13"/>
      <c r="S86" s="13"/>
      <c r="T86" s="13"/>
      <c r="U86" s="13"/>
      <c r="V86" s="13"/>
      <c r="W86" s="13"/>
      <c r="X86" s="13"/>
      <c r="Y86" s="13"/>
      <c r="Z86" s="13"/>
    </row>
    <row r="87" ht="15.75" customHeight="1">
      <c r="A87" s="13"/>
      <c r="B87" s="153" t="s">
        <v>268</v>
      </c>
      <c r="C87" s="221">
        <f>'Assumptions (P3RTO)'!D56*unit_three_rto</f>
        <v>5579.83871</v>
      </c>
      <c r="D87" s="273">
        <f>C87/unit_three_rto</f>
        <v>150.8064516</v>
      </c>
      <c r="E87" s="274">
        <f>C87/egi_three_rto</f>
        <v>0.008520980068</v>
      </c>
      <c r="F87" s="13"/>
      <c r="G87" s="13"/>
      <c r="H87" s="13"/>
      <c r="I87" s="13"/>
      <c r="J87" s="13"/>
      <c r="K87" s="13"/>
      <c r="L87" s="13"/>
      <c r="M87" s="13"/>
      <c r="N87" s="13"/>
      <c r="O87" s="13"/>
      <c r="P87" s="13"/>
      <c r="Q87" s="13"/>
      <c r="R87" s="13"/>
      <c r="S87" s="13"/>
      <c r="T87" s="13"/>
      <c r="U87" s="13"/>
      <c r="V87" s="13"/>
      <c r="W87" s="13"/>
      <c r="X87" s="13"/>
      <c r="Y87" s="13"/>
      <c r="Z87" s="13"/>
    </row>
    <row r="88" ht="15.75" customHeight="1">
      <c r="A88" s="13"/>
      <c r="B88" s="275" t="s">
        <v>269</v>
      </c>
      <c r="C88" s="276">
        <f>SUM(C82:C87)</f>
        <v>143321.6047</v>
      </c>
      <c r="D88" s="276">
        <f>C88/unit_three_rto</f>
        <v>3873.556884</v>
      </c>
      <c r="E88" s="277">
        <f>C88/egi_three_rto</f>
        <v>0.2188666377</v>
      </c>
      <c r="F88" s="13"/>
      <c r="G88" s="13"/>
      <c r="H88" s="13"/>
      <c r="I88" s="13"/>
      <c r="J88" s="13"/>
      <c r="K88" s="13"/>
      <c r="L88" s="13"/>
      <c r="M88" s="13"/>
      <c r="N88" s="13"/>
      <c r="O88" s="13"/>
      <c r="P88" s="13"/>
      <c r="Q88" s="13"/>
      <c r="R88" s="13"/>
      <c r="S88" s="13"/>
      <c r="T88" s="13"/>
      <c r="U88" s="13"/>
      <c r="V88" s="13"/>
      <c r="W88" s="13"/>
      <c r="X88" s="13"/>
      <c r="Y88" s="13"/>
      <c r="Z88" s="13"/>
    </row>
    <row r="89" ht="15.75" customHeight="1">
      <c r="A89" s="13"/>
      <c r="B89" s="278"/>
      <c r="C89" s="279"/>
      <c r="D89" s="279"/>
      <c r="E89" s="280"/>
      <c r="F89" s="13"/>
      <c r="G89" s="13"/>
      <c r="H89" s="13"/>
      <c r="I89" s="13"/>
      <c r="J89" s="13"/>
      <c r="K89" s="13"/>
      <c r="L89" s="13"/>
      <c r="M89" s="13"/>
      <c r="N89" s="13"/>
      <c r="O89" s="13"/>
      <c r="P89" s="13"/>
      <c r="Q89" s="13"/>
      <c r="R89" s="13"/>
      <c r="S89" s="13"/>
      <c r="T89" s="13"/>
      <c r="U89" s="13"/>
      <c r="V89" s="13"/>
      <c r="W89" s="13"/>
      <c r="X89" s="13"/>
      <c r="Y89" s="13"/>
      <c r="Z89" s="13"/>
    </row>
    <row r="90" ht="15.75" customHeight="1">
      <c r="A90" s="13"/>
      <c r="B90" s="270" t="s">
        <v>270</v>
      </c>
      <c r="C90" s="281"/>
      <c r="D90" s="281"/>
      <c r="E90" s="282"/>
      <c r="F90" s="13"/>
      <c r="G90" s="13"/>
      <c r="H90" s="13"/>
      <c r="I90" s="13"/>
      <c r="J90" s="13"/>
      <c r="K90" s="13"/>
      <c r="L90" s="13"/>
      <c r="M90" s="13"/>
      <c r="N90" s="13"/>
      <c r="O90" s="13"/>
      <c r="P90" s="13"/>
      <c r="Q90" s="13"/>
      <c r="R90" s="13"/>
      <c r="S90" s="13"/>
      <c r="T90" s="13"/>
      <c r="U90" s="13"/>
      <c r="V90" s="13"/>
      <c r="W90" s="13"/>
      <c r="X90" s="13"/>
      <c r="Y90" s="13"/>
      <c r="Z90" s="13"/>
    </row>
    <row r="91" ht="15.75" customHeight="1">
      <c r="A91" s="13"/>
      <c r="B91" s="230" t="s">
        <v>271</v>
      </c>
      <c r="C91" s="272">
        <f>unit_three_rto*'Assumptions (P3RTO)'!D59*(1-'Assumptions (P3RTO)'!D60)</f>
        <v>6660</v>
      </c>
      <c r="D91" s="273">
        <f>C91/unit_three_rto</f>
        <v>180</v>
      </c>
      <c r="E91" s="274">
        <f>C91/egi_three_rto</f>
        <v>0.010170496</v>
      </c>
      <c r="F91" s="13"/>
      <c r="G91" s="13"/>
      <c r="H91" s="13"/>
      <c r="I91" s="13"/>
      <c r="J91" s="13"/>
      <c r="K91" s="13"/>
      <c r="L91" s="13"/>
      <c r="M91" s="13"/>
      <c r="N91" s="13"/>
      <c r="O91" s="13"/>
      <c r="P91" s="13"/>
      <c r="Q91" s="13"/>
      <c r="R91" s="13"/>
      <c r="S91" s="13"/>
      <c r="T91" s="13"/>
      <c r="U91" s="13"/>
      <c r="V91" s="13"/>
      <c r="W91" s="13"/>
      <c r="X91" s="13"/>
      <c r="Y91" s="13"/>
      <c r="Z91" s="13"/>
    </row>
    <row r="92" ht="15.75" customHeight="1">
      <c r="A92" s="13"/>
      <c r="B92" s="230" t="s">
        <v>272</v>
      </c>
      <c r="C92" s="218">
        <f>unit_three_rto*'Assumptions (P3RTO)'!D61*(1-'Assumptions (P3RTO)'!D62)</f>
        <v>2960</v>
      </c>
      <c r="D92" s="273">
        <f>C92/unit_three_rto</f>
        <v>80</v>
      </c>
      <c r="E92" s="274">
        <f>C92/egi_three_rto</f>
        <v>0.004520220443</v>
      </c>
      <c r="F92" s="95"/>
      <c r="G92" s="13"/>
      <c r="H92" s="13"/>
      <c r="I92" s="13"/>
      <c r="J92" s="13"/>
      <c r="K92" s="13"/>
      <c r="L92" s="13"/>
      <c r="M92" s="13"/>
      <c r="N92" s="13"/>
      <c r="O92" s="13"/>
      <c r="P92" s="13"/>
      <c r="Q92" s="13"/>
      <c r="R92" s="13"/>
      <c r="S92" s="13"/>
      <c r="T92" s="13"/>
      <c r="U92" s="13"/>
      <c r="V92" s="13"/>
      <c r="W92" s="13"/>
      <c r="X92" s="13"/>
      <c r="Y92" s="13"/>
      <c r="Z92" s="13"/>
    </row>
    <row r="93" ht="15.75" customHeight="1">
      <c r="A93" s="13"/>
      <c r="B93" s="230" t="s">
        <v>273</v>
      </c>
      <c r="C93" s="221">
        <f>unit_three_rto*'Assumptions (P3RTO)'!D63</f>
        <v>0</v>
      </c>
      <c r="D93" s="273">
        <f>C93/unit_three_rto</f>
        <v>0</v>
      </c>
      <c r="E93" s="274">
        <f>C93/egi_three_rto</f>
        <v>0</v>
      </c>
      <c r="F93" s="13"/>
      <c r="G93" s="13"/>
      <c r="H93" s="13"/>
      <c r="I93" s="13"/>
      <c r="J93" s="13"/>
      <c r="K93" s="13"/>
      <c r="L93" s="13"/>
      <c r="M93" s="13"/>
      <c r="N93" s="13"/>
      <c r="O93" s="13"/>
      <c r="P93" s="13"/>
      <c r="Q93" s="13"/>
      <c r="R93" s="13"/>
      <c r="S93" s="13"/>
      <c r="T93" s="13"/>
      <c r="U93" s="13"/>
      <c r="V93" s="13"/>
      <c r="W93" s="13"/>
      <c r="X93" s="13"/>
      <c r="Y93" s="13"/>
      <c r="Z93" s="13"/>
    </row>
    <row r="94" ht="15.75" customHeight="1">
      <c r="A94" s="13"/>
      <c r="B94" s="283" t="s">
        <v>274</v>
      </c>
      <c r="C94" s="276">
        <f>SUM(C91:C93)</f>
        <v>9620</v>
      </c>
      <c r="D94" s="276">
        <f>C94/unit_three_rto</f>
        <v>260</v>
      </c>
      <c r="E94" s="277">
        <f>C94/egi_three_rto</f>
        <v>0.01469071644</v>
      </c>
      <c r="F94" s="13"/>
      <c r="G94" s="13"/>
      <c r="H94" s="13"/>
      <c r="I94" s="13"/>
      <c r="J94" s="13"/>
      <c r="K94" s="13"/>
      <c r="L94" s="13"/>
      <c r="M94" s="13"/>
      <c r="N94" s="13"/>
      <c r="O94" s="13"/>
      <c r="P94" s="13"/>
      <c r="Q94" s="13"/>
      <c r="R94" s="13"/>
      <c r="S94" s="13"/>
      <c r="T94" s="13"/>
      <c r="U94" s="13"/>
      <c r="V94" s="13"/>
      <c r="W94" s="13"/>
      <c r="X94" s="13"/>
      <c r="Y94" s="13"/>
      <c r="Z94" s="13"/>
    </row>
    <row r="95" ht="15.75" customHeight="1">
      <c r="A95" s="13"/>
      <c r="B95" s="230"/>
      <c r="C95" s="279"/>
      <c r="D95" s="279"/>
      <c r="E95" s="280"/>
      <c r="F95" s="13"/>
      <c r="G95" s="13"/>
      <c r="H95" s="13"/>
      <c r="I95" s="13"/>
      <c r="J95" s="13"/>
      <c r="K95" s="13"/>
      <c r="L95" s="13"/>
      <c r="M95" s="13"/>
      <c r="N95" s="13"/>
      <c r="O95" s="13"/>
      <c r="P95" s="13"/>
      <c r="Q95" s="13"/>
      <c r="R95" s="13"/>
      <c r="S95" s="13"/>
      <c r="T95" s="13"/>
      <c r="U95" s="13"/>
      <c r="V95" s="13"/>
      <c r="W95" s="13"/>
      <c r="X95" s="13"/>
      <c r="Y95" s="13"/>
      <c r="Z95" s="13"/>
    </row>
    <row r="96" ht="15.75" customHeight="1">
      <c r="A96" s="13"/>
      <c r="B96" s="270" t="s">
        <v>275</v>
      </c>
      <c r="C96" s="281"/>
      <c r="D96" s="281"/>
      <c r="E96" s="282"/>
      <c r="F96" s="13"/>
      <c r="G96" s="13"/>
      <c r="H96" s="13"/>
      <c r="I96" s="13"/>
      <c r="J96" s="13"/>
      <c r="K96" s="13"/>
      <c r="L96" s="13"/>
      <c r="M96" s="13"/>
      <c r="N96" s="13"/>
      <c r="O96" s="13"/>
      <c r="P96" s="13"/>
      <c r="Q96" s="13"/>
      <c r="R96" s="13"/>
      <c r="S96" s="13"/>
      <c r="T96" s="13"/>
      <c r="U96" s="13"/>
      <c r="V96" s="13"/>
      <c r="W96" s="13"/>
      <c r="X96" s="13"/>
      <c r="Y96" s="13"/>
      <c r="Z96" s="13"/>
    </row>
    <row r="97" ht="15.75" customHeight="1">
      <c r="A97" s="13"/>
      <c r="B97" s="230" t="s">
        <v>276</v>
      </c>
      <c r="C97" s="272">
        <f>'Assumptions (P3RTO)'!D66</f>
        <v>70000</v>
      </c>
      <c r="D97" s="273">
        <f>C97/unit_three_rto</f>
        <v>1891.891892</v>
      </c>
      <c r="E97" s="274">
        <f>C97/egi_three_rto</f>
        <v>0.1068971051</v>
      </c>
      <c r="F97" s="13"/>
      <c r="G97" s="13"/>
      <c r="H97" s="13"/>
      <c r="I97" s="13"/>
      <c r="J97" s="13"/>
      <c r="K97" s="13"/>
      <c r="L97" s="13"/>
      <c r="M97" s="13"/>
      <c r="N97" s="13"/>
      <c r="O97" s="13"/>
      <c r="P97" s="13"/>
      <c r="Q97" s="13"/>
      <c r="R97" s="13"/>
      <c r="S97" s="13"/>
      <c r="T97" s="13"/>
      <c r="U97" s="13"/>
      <c r="V97" s="13"/>
      <c r="W97" s="13"/>
      <c r="X97" s="13"/>
      <c r="Y97" s="13"/>
      <c r="Z97" s="13"/>
    </row>
    <row r="98" ht="15.75" customHeight="1">
      <c r="A98" s="13"/>
      <c r="B98" s="230" t="s">
        <v>277</v>
      </c>
      <c r="C98" s="218">
        <f>unit_three_rto*'Assumptions (P3RTO)'!D67</f>
        <v>2220</v>
      </c>
      <c r="D98" s="273">
        <f>C98/unit_three_rto</f>
        <v>60</v>
      </c>
      <c r="E98" s="274">
        <f>C98/egi_three_rto</f>
        <v>0.003390165332</v>
      </c>
      <c r="F98" s="13"/>
      <c r="G98" s="13"/>
      <c r="H98" s="13"/>
      <c r="I98" s="13"/>
      <c r="J98" s="13"/>
      <c r="K98" s="13"/>
      <c r="L98" s="13"/>
      <c r="M98" s="13"/>
      <c r="N98" s="13"/>
      <c r="O98" s="13"/>
      <c r="P98" s="13"/>
      <c r="Q98" s="13"/>
      <c r="R98" s="13"/>
      <c r="S98" s="13"/>
      <c r="T98" s="13"/>
      <c r="U98" s="13"/>
      <c r="V98" s="13"/>
      <c r="W98" s="13"/>
      <c r="X98" s="13"/>
      <c r="Y98" s="13"/>
      <c r="Z98" s="13"/>
    </row>
    <row r="99" ht="15.75" customHeight="1">
      <c r="A99" s="13"/>
      <c r="B99" s="284" t="s">
        <v>278</v>
      </c>
      <c r="C99" s="218">
        <f>unit_three_rto*'Assumptions (P3RTO)'!D68</f>
        <v>1110</v>
      </c>
      <c r="D99" s="273">
        <f>C99/unit_three_rto</f>
        <v>30</v>
      </c>
      <c r="E99" s="274">
        <f>C99/egi_three_rto</f>
        <v>0.001695082666</v>
      </c>
      <c r="F99" s="13"/>
      <c r="G99" s="13"/>
      <c r="H99" s="13"/>
      <c r="I99" s="13"/>
      <c r="J99" s="13"/>
      <c r="K99" s="13"/>
      <c r="L99" s="13"/>
      <c r="M99" s="13"/>
      <c r="N99" s="13"/>
      <c r="O99" s="13"/>
      <c r="P99" s="13"/>
      <c r="Q99" s="13"/>
      <c r="R99" s="13"/>
      <c r="S99" s="13"/>
      <c r="T99" s="13"/>
      <c r="U99" s="13"/>
      <c r="V99" s="13"/>
      <c r="W99" s="13"/>
      <c r="X99" s="13"/>
      <c r="Y99" s="13"/>
      <c r="Z99" s="13"/>
    </row>
    <row r="100" ht="15.75" customHeight="1">
      <c r="A100" s="13"/>
      <c r="B100" s="230" t="s">
        <v>279</v>
      </c>
      <c r="C100" s="218">
        <f>unit_three_rto*'Assumptions (P3RTO)'!D69</f>
        <v>11100</v>
      </c>
      <c r="D100" s="273">
        <f>C100/unit_three_rto</f>
        <v>300</v>
      </c>
      <c r="E100" s="274">
        <f>C100/egi_three_rto</f>
        <v>0.01695082666</v>
      </c>
      <c r="F100" s="13"/>
      <c r="G100" s="13"/>
      <c r="H100" s="13"/>
      <c r="I100" s="13"/>
      <c r="J100" s="13"/>
      <c r="K100" s="13"/>
      <c r="L100" s="13"/>
      <c r="M100" s="13"/>
      <c r="N100" s="13"/>
      <c r="O100" s="13"/>
      <c r="P100" s="13"/>
      <c r="Q100" s="13"/>
      <c r="R100" s="13"/>
      <c r="S100" s="13"/>
      <c r="T100" s="13"/>
      <c r="U100" s="13"/>
      <c r="V100" s="13"/>
      <c r="W100" s="13"/>
      <c r="X100" s="13"/>
      <c r="Y100" s="13"/>
      <c r="Z100" s="13"/>
    </row>
    <row r="101" ht="15.75" customHeight="1">
      <c r="A101" s="13"/>
      <c r="B101" s="230" t="s">
        <v>280</v>
      </c>
      <c r="C101" s="218">
        <f>unit_three_rto*'Assumptions (P3RTO)'!D70</f>
        <v>1110</v>
      </c>
      <c r="D101" s="273">
        <f>C101/unit_three_rto</f>
        <v>30</v>
      </c>
      <c r="E101" s="274">
        <f>C101/egi_three_rto</f>
        <v>0.001695082666</v>
      </c>
      <c r="F101" s="13"/>
      <c r="G101" s="13"/>
      <c r="H101" s="13"/>
      <c r="I101" s="13"/>
      <c r="J101" s="13"/>
      <c r="K101" s="13"/>
      <c r="L101" s="13"/>
      <c r="M101" s="13"/>
      <c r="N101" s="13"/>
      <c r="O101" s="13"/>
      <c r="P101" s="13"/>
      <c r="Q101" s="13"/>
      <c r="R101" s="13"/>
      <c r="S101" s="13"/>
      <c r="T101" s="13"/>
      <c r="U101" s="13"/>
      <c r="V101" s="13"/>
      <c r="W101" s="13"/>
      <c r="X101" s="13"/>
      <c r="Y101" s="13"/>
      <c r="Z101" s="13"/>
    </row>
    <row r="102" ht="15.75" customHeight="1">
      <c r="A102" s="13"/>
      <c r="B102" s="230" t="s">
        <v>281</v>
      </c>
      <c r="C102" s="218">
        <f>unit_three_rto*'Assumptions (P3RTO)'!D71</f>
        <v>2220</v>
      </c>
      <c r="D102" s="273">
        <f>C102/unit_three_rto</f>
        <v>60</v>
      </c>
      <c r="E102" s="274">
        <f>C102/egi_three_rto</f>
        <v>0.003390165332</v>
      </c>
      <c r="F102" s="13"/>
      <c r="G102" s="13"/>
      <c r="H102" s="13"/>
      <c r="I102" s="13"/>
      <c r="J102" s="13"/>
      <c r="K102" s="13"/>
      <c r="L102" s="13"/>
      <c r="M102" s="13"/>
      <c r="N102" s="13"/>
      <c r="O102" s="13"/>
      <c r="P102" s="13"/>
      <c r="Q102" s="13"/>
      <c r="R102" s="13"/>
      <c r="S102" s="13"/>
      <c r="T102" s="13"/>
      <c r="U102" s="13"/>
      <c r="V102" s="13"/>
      <c r="W102" s="13"/>
      <c r="X102" s="13"/>
      <c r="Y102" s="13"/>
      <c r="Z102" s="13"/>
    </row>
    <row r="103" ht="15.75" customHeight="1">
      <c r="A103" s="13"/>
      <c r="B103" s="230" t="s">
        <v>282</v>
      </c>
      <c r="C103" s="218">
        <f>unit_three_rto*'Assumptions (P3RTO)'!D72</f>
        <v>2220</v>
      </c>
      <c r="D103" s="273">
        <f>C103/unit_three_rto</f>
        <v>60</v>
      </c>
      <c r="E103" s="274">
        <f>C103/egi_three_rto</f>
        <v>0.003390165332</v>
      </c>
      <c r="F103" s="13"/>
      <c r="G103" s="13"/>
      <c r="H103" s="13"/>
      <c r="I103" s="13"/>
      <c r="J103" s="13"/>
      <c r="K103" s="13"/>
      <c r="L103" s="13"/>
      <c r="M103" s="13"/>
      <c r="N103" s="13"/>
      <c r="O103" s="13"/>
      <c r="P103" s="13"/>
      <c r="Q103" s="13"/>
      <c r="R103" s="13"/>
      <c r="S103" s="13"/>
      <c r="T103" s="13"/>
      <c r="U103" s="13"/>
      <c r="V103" s="13"/>
      <c r="W103" s="13"/>
      <c r="X103" s="13"/>
      <c r="Y103" s="13"/>
      <c r="Z103" s="13"/>
    </row>
    <row r="104" ht="15.75" customHeight="1">
      <c r="A104" s="13"/>
      <c r="B104" s="230" t="s">
        <v>283</v>
      </c>
      <c r="C104" s="218">
        <f>unit_three_rto*'Assumptions (P3RTO)'!D73</f>
        <v>1110</v>
      </c>
      <c r="D104" s="273">
        <f>C104/unit_three_rto</f>
        <v>30</v>
      </c>
      <c r="E104" s="274">
        <f>C104/egi_three_rto</f>
        <v>0.001695082666</v>
      </c>
      <c r="F104" s="95"/>
      <c r="G104" s="13"/>
      <c r="H104" s="13"/>
      <c r="I104" s="13"/>
      <c r="J104" s="13"/>
      <c r="K104" s="13"/>
      <c r="L104" s="13"/>
      <c r="M104" s="13"/>
      <c r="N104" s="13"/>
      <c r="O104" s="13"/>
      <c r="P104" s="13"/>
      <c r="Q104" s="13"/>
      <c r="R104" s="13"/>
      <c r="S104" s="13"/>
      <c r="T104" s="13"/>
      <c r="U104" s="13"/>
      <c r="V104" s="13"/>
      <c r="W104" s="13"/>
      <c r="X104" s="13"/>
      <c r="Y104" s="13"/>
      <c r="Z104" s="13"/>
    </row>
    <row r="105" ht="15.75" customHeight="1">
      <c r="A105" s="13"/>
      <c r="B105" s="153" t="s">
        <v>284</v>
      </c>
      <c r="C105" s="221">
        <f>unit_three_rto*'Assumptions (P3RTO)'!D74</f>
        <v>925</v>
      </c>
      <c r="D105" s="273">
        <f>C105/unit_three_rto</f>
        <v>25</v>
      </c>
      <c r="E105" s="274">
        <f>C105/egi_three_rto</f>
        <v>0.001412568888</v>
      </c>
      <c r="F105" s="13"/>
      <c r="G105" s="13"/>
      <c r="H105" s="13"/>
      <c r="I105" s="13"/>
      <c r="J105" s="13"/>
      <c r="K105" s="13"/>
      <c r="L105" s="13"/>
      <c r="M105" s="13"/>
      <c r="N105" s="13"/>
      <c r="O105" s="13"/>
      <c r="P105" s="13"/>
      <c r="Q105" s="13"/>
      <c r="R105" s="13"/>
      <c r="S105" s="13"/>
      <c r="T105" s="13"/>
      <c r="U105" s="13"/>
      <c r="V105" s="13"/>
      <c r="W105" s="13"/>
      <c r="X105" s="13"/>
      <c r="Y105" s="13"/>
      <c r="Z105" s="13"/>
    </row>
    <row r="106" ht="15.75" customHeight="1">
      <c r="A106" s="13"/>
      <c r="B106" s="275" t="s">
        <v>285</v>
      </c>
      <c r="C106" s="276">
        <f>SUM(C97:C105)</f>
        <v>92015</v>
      </c>
      <c r="D106" s="276">
        <f>C106/unit_three_rto</f>
        <v>2486.891892</v>
      </c>
      <c r="E106" s="277">
        <f>C106/egi_three_rto</f>
        <v>0.1405162446</v>
      </c>
      <c r="F106" s="13"/>
      <c r="G106" s="13"/>
      <c r="H106" s="13"/>
      <c r="I106" s="13"/>
      <c r="J106" s="13"/>
      <c r="K106" s="13"/>
      <c r="L106" s="13"/>
      <c r="M106" s="13"/>
      <c r="N106" s="13"/>
      <c r="O106" s="13"/>
      <c r="P106" s="13"/>
      <c r="Q106" s="13"/>
      <c r="R106" s="13"/>
      <c r="S106" s="13"/>
      <c r="T106" s="13"/>
      <c r="U106" s="13"/>
      <c r="V106" s="13"/>
      <c r="W106" s="13"/>
      <c r="X106" s="13"/>
      <c r="Y106" s="13"/>
      <c r="Z106" s="13"/>
    </row>
    <row r="107" ht="15.75" customHeight="1">
      <c r="A107" s="13"/>
      <c r="B107" s="230"/>
      <c r="C107" s="279"/>
      <c r="D107" s="279"/>
      <c r="E107" s="280"/>
      <c r="F107" s="13"/>
      <c r="G107" s="13"/>
      <c r="H107" s="13"/>
      <c r="I107" s="13"/>
      <c r="J107" s="13"/>
      <c r="K107" s="13"/>
      <c r="L107" s="13"/>
      <c r="M107" s="13"/>
      <c r="N107" s="13"/>
      <c r="O107" s="13"/>
      <c r="P107" s="13"/>
      <c r="Q107" s="13"/>
      <c r="R107" s="13"/>
      <c r="S107" s="13"/>
      <c r="T107" s="13"/>
      <c r="U107" s="13"/>
      <c r="V107" s="13"/>
      <c r="W107" s="13"/>
      <c r="X107" s="13"/>
      <c r="Y107" s="13"/>
      <c r="Z107" s="13"/>
    </row>
    <row r="108" ht="15.75" customHeight="1">
      <c r="A108" s="13"/>
      <c r="B108" s="270" t="s">
        <v>286</v>
      </c>
      <c r="C108" s="281"/>
      <c r="D108" s="281"/>
      <c r="E108" s="282"/>
      <c r="F108" s="13"/>
      <c r="G108" s="13"/>
      <c r="H108" s="13"/>
      <c r="I108" s="13"/>
      <c r="J108" s="13"/>
      <c r="K108" s="13"/>
      <c r="L108" s="13"/>
      <c r="M108" s="13"/>
      <c r="N108" s="13"/>
      <c r="O108" s="13"/>
      <c r="P108" s="13"/>
      <c r="Q108" s="13"/>
      <c r="R108" s="13"/>
      <c r="S108" s="13"/>
      <c r="T108" s="13"/>
      <c r="U108" s="13"/>
      <c r="V108" s="13"/>
      <c r="W108" s="13"/>
      <c r="X108" s="13"/>
      <c r="Y108" s="13"/>
      <c r="Z108" s="13"/>
    </row>
    <row r="109" ht="15.75" customHeight="1">
      <c r="A109" s="13"/>
      <c r="B109" s="230" t="s">
        <v>287</v>
      </c>
      <c r="C109" s="272">
        <f>'Assumptions (P3RTO)'!D82</f>
        <v>171157</v>
      </c>
      <c r="D109" s="273">
        <f>C109/unit_three_rto</f>
        <v>4625.864865</v>
      </c>
      <c r="E109" s="274">
        <f>C109/egi_three_rto</f>
        <v>0.2613741116</v>
      </c>
      <c r="F109" s="95"/>
      <c r="G109" s="13"/>
      <c r="H109" s="13"/>
      <c r="I109" s="13"/>
      <c r="J109" s="13"/>
      <c r="K109" s="13"/>
      <c r="L109" s="13"/>
      <c r="M109" s="13"/>
      <c r="N109" s="13"/>
      <c r="O109" s="13"/>
      <c r="P109" s="13"/>
      <c r="Q109" s="13"/>
      <c r="R109" s="13"/>
      <c r="S109" s="13"/>
      <c r="T109" s="13"/>
      <c r="U109" s="13"/>
      <c r="V109" s="13"/>
      <c r="W109" s="13"/>
      <c r="X109" s="13"/>
      <c r="Y109" s="13"/>
      <c r="Z109" s="13"/>
    </row>
    <row r="110" ht="15.75" customHeight="1">
      <c r="A110" s="13"/>
      <c r="B110" s="153" t="s">
        <v>56</v>
      </c>
      <c r="C110" s="272">
        <f>'Assumptions (P3RTO)'!D83</f>
        <v>0</v>
      </c>
      <c r="D110" s="273">
        <f>C110/unit_three_rto</f>
        <v>0</v>
      </c>
      <c r="E110" s="274">
        <f>C110/egi_three_rto</f>
        <v>0</v>
      </c>
      <c r="F110" s="13"/>
      <c r="G110" s="13"/>
      <c r="H110" s="13"/>
      <c r="I110" s="13"/>
      <c r="J110" s="13"/>
      <c r="K110" s="13"/>
      <c r="L110" s="13"/>
      <c r="M110" s="13"/>
      <c r="N110" s="13"/>
      <c r="O110" s="13"/>
      <c r="P110" s="13"/>
      <c r="Q110" s="13"/>
      <c r="R110" s="13"/>
      <c r="S110" s="13"/>
      <c r="T110" s="13"/>
      <c r="U110" s="13"/>
      <c r="V110" s="13"/>
      <c r="W110" s="13"/>
      <c r="X110" s="13"/>
      <c r="Y110" s="13"/>
      <c r="Z110" s="13"/>
    </row>
    <row r="111" ht="15.75" customHeight="1">
      <c r="A111" s="13"/>
      <c r="B111" s="275" t="s">
        <v>288</v>
      </c>
      <c r="C111" s="276">
        <f>SUM(C109:C110)</f>
        <v>171157</v>
      </c>
      <c r="D111" s="276">
        <f>C111/unit_three_rto</f>
        <v>4625.864865</v>
      </c>
      <c r="E111" s="277">
        <f>C111/egi_three_rto</f>
        <v>0.2613741116</v>
      </c>
      <c r="F111" s="13"/>
      <c r="G111" s="13"/>
      <c r="H111" s="13"/>
      <c r="I111" s="13"/>
      <c r="J111" s="13"/>
      <c r="K111" s="13"/>
      <c r="L111" s="13"/>
      <c r="M111" s="13"/>
      <c r="N111" s="13"/>
      <c r="O111" s="13"/>
      <c r="P111" s="13"/>
      <c r="Q111" s="13"/>
      <c r="R111" s="13"/>
      <c r="S111" s="13"/>
      <c r="T111" s="13"/>
      <c r="U111" s="13"/>
      <c r="V111" s="13"/>
      <c r="W111" s="13"/>
      <c r="X111" s="13"/>
      <c r="Y111" s="13"/>
      <c r="Z111" s="13"/>
    </row>
    <row r="112" ht="15.75" customHeight="1">
      <c r="A112" s="13"/>
      <c r="B112" s="278"/>
      <c r="C112" s="279"/>
      <c r="D112" s="279"/>
      <c r="E112" s="280"/>
      <c r="F112" s="13"/>
      <c r="G112" s="13"/>
      <c r="H112" s="13"/>
      <c r="I112" s="13"/>
      <c r="J112" s="13"/>
      <c r="K112" s="13"/>
      <c r="L112" s="13"/>
      <c r="M112" s="13"/>
      <c r="N112" s="13"/>
      <c r="O112" s="13"/>
      <c r="P112" s="13"/>
      <c r="Q112" s="13"/>
      <c r="R112" s="13"/>
      <c r="S112" s="13"/>
      <c r="T112" s="13"/>
      <c r="U112" s="13"/>
      <c r="V112" s="13"/>
      <c r="W112" s="13"/>
      <c r="X112" s="13"/>
      <c r="Y112" s="13"/>
      <c r="Z112" s="13"/>
    </row>
    <row r="113" ht="15.75" customHeight="1">
      <c r="A113" s="13"/>
      <c r="B113" s="270" t="s">
        <v>289</v>
      </c>
      <c r="C113" s="281"/>
      <c r="D113" s="281"/>
      <c r="E113" s="282"/>
      <c r="F113" s="13"/>
      <c r="G113" s="13"/>
      <c r="H113" s="13"/>
      <c r="I113" s="13"/>
      <c r="J113" s="13"/>
      <c r="K113" s="13"/>
      <c r="L113" s="13"/>
      <c r="M113" s="13"/>
      <c r="N113" s="13"/>
      <c r="O113" s="13"/>
      <c r="P113" s="13"/>
      <c r="Q113" s="13"/>
      <c r="R113" s="13"/>
      <c r="S113" s="13"/>
      <c r="T113" s="13"/>
      <c r="U113" s="13"/>
      <c r="V113" s="13"/>
      <c r="W113" s="13"/>
      <c r="X113" s="13"/>
      <c r="Y113" s="13"/>
      <c r="Z113" s="13"/>
    </row>
    <row r="114" ht="15.75" customHeight="1">
      <c r="A114" s="13"/>
      <c r="B114" s="230" t="s">
        <v>290</v>
      </c>
      <c r="C114" s="272">
        <f>unit_three_rto*'Assumptions (P3RTO)'!D86</f>
        <v>7287.531017</v>
      </c>
      <c r="D114" s="273">
        <f>C114/unit_three_rto</f>
        <v>196.9602978</v>
      </c>
      <c r="E114" s="274">
        <f>C114/egi_three_rto</f>
        <v>0.01112879955</v>
      </c>
      <c r="F114" s="13"/>
      <c r="G114" s="13"/>
      <c r="H114" s="13"/>
      <c r="I114" s="13"/>
      <c r="J114" s="13"/>
      <c r="K114" s="13"/>
      <c r="L114" s="13"/>
      <c r="M114" s="13"/>
      <c r="N114" s="13"/>
      <c r="O114" s="13"/>
      <c r="P114" s="13"/>
      <c r="Q114" s="13"/>
      <c r="R114" s="13"/>
      <c r="S114" s="13"/>
      <c r="T114" s="13"/>
      <c r="U114" s="13"/>
      <c r="V114" s="13"/>
      <c r="W114" s="13"/>
      <c r="X114" s="13"/>
      <c r="Y114" s="13"/>
      <c r="Z114" s="13"/>
    </row>
    <row r="115" ht="15.75" customHeight="1">
      <c r="A115" s="13"/>
      <c r="B115" s="153" t="s">
        <v>291</v>
      </c>
      <c r="C115" s="221">
        <f>'Assumptions (P3RTO)'!D87*unit_three_rto</f>
        <v>1110</v>
      </c>
      <c r="D115" s="273">
        <f>C115/unit_three_rto</f>
        <v>30</v>
      </c>
      <c r="E115" s="274">
        <f>C115/egi_three_rto</f>
        <v>0.001695082666</v>
      </c>
      <c r="F115" s="13"/>
      <c r="G115" s="13"/>
      <c r="H115" s="13"/>
      <c r="I115" s="13"/>
      <c r="J115" s="13"/>
      <c r="K115" s="13"/>
      <c r="L115" s="13"/>
      <c r="M115" s="13"/>
      <c r="N115" s="13"/>
      <c r="O115" s="13"/>
      <c r="P115" s="13"/>
      <c r="Q115" s="13"/>
      <c r="R115" s="13"/>
      <c r="S115" s="13"/>
      <c r="T115" s="13"/>
      <c r="U115" s="13"/>
      <c r="V115" s="13"/>
      <c r="W115" s="13"/>
      <c r="X115" s="13"/>
      <c r="Y115" s="13"/>
      <c r="Z115" s="13"/>
    </row>
    <row r="116" ht="15.75" customHeight="1">
      <c r="A116" s="13"/>
      <c r="B116" s="275" t="s">
        <v>292</v>
      </c>
      <c r="C116" s="276">
        <f>SUM(C114:C115)</f>
        <v>8397.531017</v>
      </c>
      <c r="D116" s="276">
        <f>C116/unit_three_rto</f>
        <v>226.9602978</v>
      </c>
      <c r="E116" s="277">
        <f>C116/egi_three_rto</f>
        <v>0.01282388222</v>
      </c>
      <c r="F116" s="13"/>
      <c r="G116" s="13"/>
      <c r="H116" s="13"/>
      <c r="I116" s="13"/>
      <c r="J116" s="13"/>
      <c r="K116" s="13"/>
      <c r="L116" s="13"/>
      <c r="M116" s="13"/>
      <c r="N116" s="13"/>
      <c r="O116" s="13"/>
      <c r="P116" s="13"/>
      <c r="Q116" s="13"/>
      <c r="R116" s="13"/>
      <c r="S116" s="13"/>
      <c r="T116" s="13"/>
      <c r="U116" s="13"/>
      <c r="V116" s="13"/>
      <c r="W116" s="13"/>
      <c r="X116" s="13"/>
      <c r="Y116" s="13"/>
      <c r="Z116" s="13"/>
    </row>
    <row r="117" ht="15.75" customHeight="1">
      <c r="A117" s="13"/>
      <c r="B117" s="230"/>
      <c r="C117" s="279"/>
      <c r="D117" s="279"/>
      <c r="E117" s="280"/>
      <c r="F117" s="13"/>
      <c r="G117" s="13"/>
      <c r="H117" s="13"/>
      <c r="I117" s="13"/>
      <c r="J117" s="13"/>
      <c r="K117" s="13"/>
      <c r="L117" s="13"/>
      <c r="M117" s="13"/>
      <c r="N117" s="13"/>
      <c r="O117" s="13"/>
      <c r="P117" s="13"/>
      <c r="Q117" s="13"/>
      <c r="R117" s="13"/>
      <c r="S117" s="13"/>
      <c r="T117" s="13"/>
      <c r="U117" s="13"/>
      <c r="V117" s="13"/>
      <c r="W117" s="13"/>
      <c r="X117" s="13"/>
      <c r="Y117" s="13"/>
      <c r="Z117" s="13"/>
    </row>
    <row r="118" ht="15.75" customHeight="1">
      <c r="A118" s="13"/>
      <c r="B118" s="270" t="s">
        <v>293</v>
      </c>
      <c r="C118" s="281"/>
      <c r="D118" s="281"/>
      <c r="E118" s="282"/>
      <c r="F118" s="13"/>
      <c r="G118" s="13"/>
      <c r="H118" s="13"/>
      <c r="I118" s="13"/>
      <c r="J118" s="13"/>
      <c r="K118" s="13"/>
      <c r="L118" s="13"/>
      <c r="M118" s="13"/>
      <c r="N118" s="13"/>
      <c r="O118" s="13"/>
      <c r="P118" s="13"/>
      <c r="Q118" s="13"/>
      <c r="R118" s="13"/>
      <c r="S118" s="13"/>
      <c r="T118" s="13"/>
      <c r="U118" s="13"/>
      <c r="V118" s="13"/>
      <c r="W118" s="13"/>
      <c r="X118" s="13"/>
      <c r="Y118" s="13"/>
      <c r="Z118" s="13"/>
    </row>
    <row r="119" ht="15.75" customHeight="1">
      <c r="A119" s="13"/>
      <c r="B119" s="230" t="s">
        <v>293</v>
      </c>
      <c r="C119" s="272">
        <f>'Assumptions (P3RTO)'!D90</f>
        <v>10000</v>
      </c>
      <c r="D119" s="273">
        <f>C119/unit_three_rto</f>
        <v>270.2702703</v>
      </c>
      <c r="E119" s="274">
        <f>C119/egi_three_rto</f>
        <v>0.01527101501</v>
      </c>
      <c r="F119" s="95"/>
      <c r="G119" s="13"/>
      <c r="H119" s="13"/>
      <c r="I119" s="13"/>
      <c r="J119" s="13"/>
      <c r="K119" s="13"/>
      <c r="L119" s="13"/>
      <c r="M119" s="13"/>
      <c r="N119" s="13"/>
      <c r="O119" s="13"/>
      <c r="P119" s="13"/>
      <c r="Q119" s="13"/>
      <c r="R119" s="13"/>
      <c r="S119" s="13"/>
      <c r="T119" s="13"/>
      <c r="U119" s="13"/>
      <c r="V119" s="13"/>
      <c r="W119" s="13"/>
      <c r="X119" s="13"/>
      <c r="Y119" s="13"/>
      <c r="Z119" s="13"/>
    </row>
    <row r="120" ht="15.75" customHeight="1">
      <c r="A120" s="13"/>
      <c r="B120" s="153" t="s">
        <v>295</v>
      </c>
      <c r="C120" s="272">
        <f>'Assumptions (P3RTO)'!D91</f>
        <v>1000</v>
      </c>
      <c r="D120" s="273">
        <f>C120/unit_three_rto</f>
        <v>27.02702703</v>
      </c>
      <c r="E120" s="274">
        <f>C120/egi_three_rto</f>
        <v>0.001527101501</v>
      </c>
      <c r="F120" s="13"/>
      <c r="G120" s="13"/>
      <c r="H120" s="13"/>
      <c r="I120" s="13"/>
      <c r="J120" s="13"/>
      <c r="K120" s="13"/>
      <c r="L120" s="13"/>
      <c r="M120" s="13"/>
      <c r="N120" s="13"/>
      <c r="O120" s="13"/>
      <c r="P120" s="13"/>
      <c r="Q120" s="13"/>
      <c r="R120" s="13"/>
      <c r="S120" s="13"/>
      <c r="T120" s="13"/>
      <c r="U120" s="13"/>
      <c r="V120" s="13"/>
      <c r="W120" s="13"/>
      <c r="X120" s="13"/>
      <c r="Y120" s="13"/>
      <c r="Z120" s="13"/>
    </row>
    <row r="121" ht="15.75" customHeight="1">
      <c r="A121" s="13"/>
      <c r="B121" s="275" t="s">
        <v>296</v>
      </c>
      <c r="C121" s="276">
        <f>SUM(C119:C120)</f>
        <v>11000</v>
      </c>
      <c r="D121" s="276">
        <f>C121/unit_three_rto</f>
        <v>297.2972973</v>
      </c>
      <c r="E121" s="277">
        <f>C121/egi_three_rto</f>
        <v>0.01679811651</v>
      </c>
      <c r="F121" s="13"/>
      <c r="G121" s="13"/>
      <c r="H121" s="13"/>
      <c r="I121" s="13"/>
      <c r="J121" s="13"/>
      <c r="K121" s="13"/>
      <c r="L121" s="13"/>
      <c r="M121" s="13"/>
      <c r="N121" s="13"/>
      <c r="O121" s="13"/>
      <c r="P121" s="13"/>
      <c r="Q121" s="13"/>
      <c r="R121" s="13"/>
      <c r="S121" s="13"/>
      <c r="T121" s="13"/>
      <c r="U121" s="13"/>
      <c r="V121" s="13"/>
      <c r="W121" s="13"/>
      <c r="X121" s="13"/>
      <c r="Y121" s="13"/>
      <c r="Z121" s="13"/>
    </row>
    <row r="122" ht="15.75" customHeight="1">
      <c r="A122" s="13"/>
      <c r="B122" s="285"/>
      <c r="C122" s="286" t="s">
        <v>297</v>
      </c>
      <c r="D122" s="287" t="s">
        <v>297</v>
      </c>
      <c r="E122" s="288"/>
      <c r="F122" s="13"/>
      <c r="G122" s="13"/>
      <c r="H122" s="13"/>
      <c r="I122" s="13"/>
      <c r="J122" s="13"/>
      <c r="K122" s="13"/>
      <c r="L122" s="13"/>
      <c r="M122" s="13"/>
      <c r="N122" s="13"/>
      <c r="O122" s="13"/>
      <c r="P122" s="13"/>
      <c r="Q122" s="13"/>
      <c r="R122" s="13"/>
      <c r="S122" s="13"/>
      <c r="T122" s="13"/>
      <c r="U122" s="13"/>
      <c r="V122" s="13"/>
      <c r="W122" s="13"/>
      <c r="X122" s="13"/>
      <c r="Y122" s="13"/>
      <c r="Z122" s="13"/>
    </row>
    <row r="123" ht="15.75" customHeight="1">
      <c r="A123" s="13"/>
      <c r="B123" s="289" t="s">
        <v>298</v>
      </c>
      <c r="C123" s="290">
        <f>SUM(C88+C94+C106+C111+C116+C121)</f>
        <v>435511.1357</v>
      </c>
      <c r="D123" s="291">
        <f>C123/unit_three_rto</f>
        <v>11770.57124</v>
      </c>
      <c r="E123" s="292">
        <f>C123/egi_three_rto</f>
        <v>0.665069709</v>
      </c>
      <c r="F123" s="95"/>
      <c r="G123" s="13"/>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230"/>
      <c r="C124" s="279"/>
      <c r="D124" s="293"/>
      <c r="E124" s="294"/>
      <c r="F124" s="13"/>
      <c r="G124" s="13"/>
      <c r="H124" s="13"/>
      <c r="I124" s="13"/>
      <c r="J124" s="13"/>
      <c r="K124" s="13"/>
      <c r="L124" s="13"/>
      <c r="M124" s="13"/>
      <c r="N124" s="13"/>
      <c r="O124" s="13"/>
      <c r="P124" s="13"/>
      <c r="Q124" s="13"/>
      <c r="R124" s="13"/>
      <c r="S124" s="13"/>
      <c r="T124" s="13"/>
      <c r="U124" s="13"/>
      <c r="V124" s="13"/>
      <c r="W124" s="13"/>
      <c r="X124" s="13"/>
      <c r="Y124" s="13"/>
      <c r="Z124" s="13"/>
    </row>
    <row r="125" ht="15.75" customHeight="1">
      <c r="A125" s="13"/>
      <c r="B125" s="295" t="s">
        <v>141</v>
      </c>
      <c r="C125" s="296">
        <f>unit_three_rto*'Assumptions (P3RTO)'!D94</f>
        <v>11100</v>
      </c>
      <c r="D125" s="297">
        <f>C125/unit_three_rto</f>
        <v>300</v>
      </c>
      <c r="E125" s="277">
        <f>C125/egi_three_rto</f>
        <v>0.01695082666</v>
      </c>
      <c r="F125" s="13"/>
      <c r="G125" s="13"/>
      <c r="H125" s="13"/>
      <c r="I125" s="13"/>
      <c r="J125" s="13"/>
      <c r="K125" s="13"/>
      <c r="L125" s="13"/>
      <c r="M125" s="13"/>
      <c r="N125" s="13"/>
      <c r="O125" s="13"/>
      <c r="P125" s="13"/>
      <c r="Q125" s="13"/>
      <c r="R125" s="13"/>
      <c r="S125" s="13"/>
      <c r="T125" s="13"/>
      <c r="U125" s="13"/>
      <c r="V125" s="13"/>
      <c r="W125" s="13"/>
      <c r="X125" s="13"/>
      <c r="Y125" s="13"/>
      <c r="Z125" s="13"/>
    </row>
    <row r="126" ht="15.75" customHeight="1">
      <c r="A126" s="13"/>
      <c r="B126" s="298"/>
      <c r="C126" s="299"/>
      <c r="D126" s="300"/>
      <c r="E126" s="301"/>
      <c r="F126" s="13"/>
      <c r="G126" s="13"/>
      <c r="H126" s="13"/>
      <c r="I126" s="13"/>
      <c r="J126" s="13"/>
      <c r="K126" s="13"/>
      <c r="L126" s="13"/>
      <c r="M126" s="13"/>
      <c r="N126" s="13"/>
      <c r="O126" s="13"/>
      <c r="P126" s="13"/>
      <c r="Q126" s="13"/>
      <c r="R126" s="13"/>
      <c r="S126" s="13"/>
      <c r="T126" s="13"/>
      <c r="U126" s="13"/>
      <c r="V126" s="13"/>
      <c r="W126" s="13"/>
      <c r="X126" s="13"/>
      <c r="Y126" s="13"/>
      <c r="Z126" s="13"/>
    </row>
    <row r="127" ht="30.75" customHeight="1">
      <c r="A127" s="13"/>
      <c r="B127" s="302" t="s">
        <v>299</v>
      </c>
      <c r="C127" s="303">
        <f>C123+C125</f>
        <v>446611.1357</v>
      </c>
      <c r="D127" s="304">
        <f>totalopex_three_rto/unit_three_rto</f>
        <v>12070.57124</v>
      </c>
      <c r="E127" s="305">
        <f>C127/egi_three_rto</f>
        <v>0.6820205357</v>
      </c>
      <c r="F127" s="13"/>
      <c r="G127" s="13"/>
      <c r="H127" s="13"/>
      <c r="I127" s="13"/>
      <c r="J127" s="13"/>
      <c r="K127" s="13"/>
      <c r="L127" s="13"/>
      <c r="M127" s="13"/>
      <c r="N127" s="13"/>
      <c r="O127" s="13"/>
      <c r="P127" s="13"/>
      <c r="Q127" s="13"/>
      <c r="R127" s="13"/>
      <c r="S127" s="13"/>
      <c r="T127" s="13"/>
      <c r="U127" s="13"/>
      <c r="V127" s="13"/>
      <c r="W127" s="13"/>
      <c r="X127" s="13"/>
      <c r="Y127" s="13"/>
      <c r="Z127" s="13"/>
    </row>
    <row r="128"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5.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5.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5.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5.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5.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5.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5.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5.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5.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5.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5.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5.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5.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5.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5.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5.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5.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5.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5.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5.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5.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5.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5.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5.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5.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5.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5.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5.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5.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5.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5.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5.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5.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5.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5.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5.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5.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5.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5.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5.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5.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5.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5.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5.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5.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5.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5.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5.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5.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5.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5.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5.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5.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5.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5.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5.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5.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5.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5.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5.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5.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5.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5.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5.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5.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5.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5.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5.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5.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5.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5.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5.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5.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5.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5.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5.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5.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5.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5.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5.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5.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5.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5.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5.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5.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5.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5.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5.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2:H2"/>
    <mergeCell ref="B8:H8"/>
    <mergeCell ref="B78:H78"/>
  </mergeCells>
  <printOptions/>
  <pageMargins bottom="0.75" footer="0.0" header="0.0" left="0.7" right="0.7" top="0.75"/>
  <pageSetup orientation="portrait"/>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E598"/>
    <pageSetUpPr/>
  </sheetPr>
  <sheetViews>
    <sheetView workbookViewId="0"/>
  </sheetViews>
  <sheetFormatPr customHeight="1" defaultColWidth="12.63" defaultRowHeight="15.0"/>
  <cols>
    <col customWidth="1" min="1" max="1" width="2.63"/>
    <col customWidth="1" min="2" max="2" width="8.0"/>
    <col customWidth="1" min="3" max="3" width="30.38"/>
    <col customWidth="1" min="4" max="4" width="5.13"/>
    <col customWidth="1" min="5" max="14" width="12.88"/>
    <col customWidth="1" min="15" max="15" width="2.63"/>
    <col customWidth="1" min="16" max="17" width="12.88"/>
    <col customWidth="1" min="18" max="27" width="8.0"/>
  </cols>
  <sheetData>
    <row r="1" ht="9.0" customHeight="1">
      <c r="A1" s="13"/>
      <c r="B1" s="13"/>
      <c r="C1" s="13"/>
      <c r="D1" s="13"/>
      <c r="E1" s="13"/>
      <c r="F1" s="13"/>
      <c r="G1" s="13"/>
      <c r="H1" s="13"/>
      <c r="I1" s="13"/>
      <c r="J1" s="13"/>
      <c r="K1" s="13"/>
      <c r="L1" s="13"/>
      <c r="M1" s="13"/>
      <c r="N1" s="13"/>
      <c r="O1" s="13"/>
      <c r="P1" s="13"/>
      <c r="Q1" s="13"/>
      <c r="R1" s="13"/>
      <c r="S1" s="13"/>
      <c r="T1" s="13"/>
      <c r="U1" s="13"/>
      <c r="V1" s="13"/>
      <c r="W1" s="13"/>
      <c r="X1" s="13"/>
      <c r="Y1" s="13"/>
      <c r="Z1" s="13"/>
      <c r="AA1" s="13"/>
    </row>
    <row r="2">
      <c r="A2" s="13"/>
      <c r="B2" s="36" t="s">
        <v>300</v>
      </c>
      <c r="C2" s="37"/>
      <c r="D2" s="37"/>
      <c r="E2" s="37"/>
      <c r="F2" s="37"/>
      <c r="G2" s="37"/>
      <c r="H2" s="37"/>
      <c r="I2" s="37"/>
      <c r="J2" s="13"/>
      <c r="K2" s="39" t="s">
        <v>44</v>
      </c>
      <c r="L2" s="39"/>
      <c r="M2" s="13"/>
      <c r="N2" s="13"/>
      <c r="O2" s="13"/>
      <c r="P2" s="13"/>
      <c r="Q2" s="13"/>
      <c r="R2" s="13"/>
      <c r="S2" s="13"/>
      <c r="T2" s="13"/>
      <c r="U2" s="13"/>
      <c r="V2" s="13"/>
      <c r="W2" s="13"/>
      <c r="X2" s="13"/>
      <c r="Y2" s="13"/>
      <c r="Z2" s="13"/>
      <c r="AA2" s="13"/>
    </row>
    <row r="3">
      <c r="A3" s="13"/>
      <c r="B3" s="13"/>
      <c r="C3" s="13"/>
      <c r="D3" s="13"/>
      <c r="E3" s="13"/>
      <c r="F3" s="13"/>
      <c r="G3" s="13"/>
      <c r="H3" s="13"/>
      <c r="I3" s="13"/>
      <c r="J3" s="13"/>
      <c r="K3" s="13"/>
      <c r="L3" s="13"/>
      <c r="M3" s="13"/>
      <c r="N3" s="13"/>
      <c r="O3" s="13"/>
      <c r="P3" s="13"/>
      <c r="Q3" s="13"/>
      <c r="R3" s="13"/>
      <c r="S3" s="13"/>
      <c r="T3" s="13"/>
      <c r="U3" s="13"/>
      <c r="V3" s="13"/>
      <c r="W3" s="13"/>
      <c r="X3" s="13"/>
      <c r="Y3" s="13"/>
      <c r="Z3" s="13"/>
      <c r="AA3" s="13"/>
    </row>
    <row r="4">
      <c r="A4" s="306"/>
      <c r="B4" s="306"/>
      <c r="C4" s="307" t="s">
        <v>301</v>
      </c>
      <c r="D4" s="308"/>
      <c r="E4" s="309"/>
      <c r="F4" s="306"/>
      <c r="G4" s="306"/>
      <c r="H4" s="306"/>
      <c r="I4" s="306"/>
      <c r="J4" s="306"/>
      <c r="K4" s="306"/>
      <c r="L4" s="306"/>
      <c r="M4" s="306"/>
      <c r="N4" s="306"/>
      <c r="O4" s="306"/>
      <c r="P4" s="306"/>
      <c r="Q4" s="306"/>
      <c r="R4" s="306"/>
      <c r="S4" s="306"/>
      <c r="T4" s="306"/>
      <c r="U4" s="306"/>
      <c r="V4" s="306"/>
      <c r="W4" s="306"/>
      <c r="X4" s="306"/>
      <c r="Y4" s="306"/>
      <c r="Z4" s="306"/>
      <c r="AA4" s="306"/>
    </row>
    <row r="5">
      <c r="A5" s="306"/>
      <c r="B5" s="306"/>
      <c r="C5" s="259" t="str">
        <f>'Income &amp; Expenses (P3RTO)'!B66</f>
        <v>Residential Vacancy Rate &amp; Credit Loss</v>
      </c>
      <c r="D5" s="258"/>
      <c r="E5" s="310">
        <f>'Income &amp; Expenses (P3RTO)'!C66</f>
        <v>0.07</v>
      </c>
      <c r="F5" s="311" t="s">
        <v>302</v>
      </c>
      <c r="G5" s="306"/>
      <c r="H5" s="306"/>
      <c r="I5" s="306"/>
      <c r="J5" s="306"/>
      <c r="K5" s="306"/>
      <c r="L5" s="306"/>
      <c r="M5" s="306"/>
      <c r="N5" s="306"/>
      <c r="O5" s="306"/>
      <c r="P5" s="306"/>
      <c r="Q5" s="306"/>
      <c r="R5" s="306"/>
      <c r="S5" s="306"/>
      <c r="T5" s="306"/>
      <c r="U5" s="306"/>
      <c r="V5" s="306"/>
      <c r="W5" s="306"/>
      <c r="X5" s="306"/>
      <c r="Y5" s="306"/>
      <c r="Z5" s="306"/>
      <c r="AA5" s="306"/>
    </row>
    <row r="6">
      <c r="A6" s="306"/>
      <c r="B6" s="306"/>
      <c r="C6" s="259" t="str">
        <f>'Income &amp; Expenses (P3RTO)'!B70</f>
        <v>Commercial Vacancy Rate</v>
      </c>
      <c r="D6" s="258"/>
      <c r="E6" s="310">
        <f>'Income &amp; Expenses (P3RTO)'!C70</f>
        <v>0</v>
      </c>
      <c r="F6" s="311" t="s">
        <v>302</v>
      </c>
      <c r="G6" s="306"/>
      <c r="H6" s="306"/>
      <c r="I6" s="306"/>
      <c r="J6" s="306"/>
      <c r="K6" s="306"/>
      <c r="L6" s="306"/>
      <c r="M6" s="306"/>
      <c r="N6" s="306"/>
      <c r="O6" s="306"/>
      <c r="P6" s="306"/>
      <c r="Q6" s="306"/>
      <c r="R6" s="306"/>
      <c r="S6" s="306"/>
      <c r="T6" s="306"/>
      <c r="U6" s="306"/>
      <c r="V6" s="306"/>
      <c r="W6" s="306"/>
      <c r="X6" s="306"/>
      <c r="Y6" s="306"/>
      <c r="Z6" s="306"/>
      <c r="AA6" s="306"/>
    </row>
    <row r="7">
      <c r="A7" s="306"/>
      <c r="B7" s="306"/>
      <c r="C7" s="259" t="s">
        <v>303</v>
      </c>
      <c r="D7" s="258"/>
      <c r="E7" s="312">
        <v>0.02</v>
      </c>
      <c r="F7" s="306"/>
      <c r="G7" s="306"/>
      <c r="H7" s="306"/>
      <c r="I7" s="306"/>
      <c r="J7" s="306"/>
      <c r="K7" s="306"/>
      <c r="L7" s="306"/>
      <c r="M7" s="306"/>
      <c r="N7" s="306"/>
      <c r="O7" s="306"/>
      <c r="P7" s="306"/>
      <c r="Q7" s="306"/>
      <c r="R7" s="306"/>
      <c r="S7" s="306"/>
      <c r="T7" s="306"/>
      <c r="U7" s="306"/>
      <c r="V7" s="306"/>
      <c r="W7" s="306"/>
      <c r="X7" s="306"/>
      <c r="Y7" s="306"/>
      <c r="Z7" s="306"/>
      <c r="AA7" s="306"/>
    </row>
    <row r="8">
      <c r="A8" s="306"/>
      <c r="B8" s="306"/>
      <c r="C8" s="259" t="s">
        <v>304</v>
      </c>
      <c r="D8" s="258"/>
      <c r="E8" s="312">
        <v>0.02</v>
      </c>
      <c r="F8" s="306"/>
      <c r="G8" s="306"/>
      <c r="H8" s="306"/>
      <c r="I8" s="306"/>
      <c r="J8" s="306"/>
      <c r="K8" s="306"/>
      <c r="L8" s="306"/>
      <c r="M8" s="306"/>
      <c r="N8" s="306"/>
      <c r="O8" s="306"/>
      <c r="P8" s="306"/>
      <c r="Q8" s="306"/>
      <c r="R8" s="306"/>
      <c r="S8" s="306"/>
      <c r="T8" s="306"/>
      <c r="U8" s="306"/>
      <c r="V8" s="306"/>
      <c r="W8" s="306"/>
      <c r="X8" s="306"/>
      <c r="Y8" s="306"/>
      <c r="Z8" s="306"/>
      <c r="AA8" s="306"/>
    </row>
    <row r="9">
      <c r="A9" s="306"/>
      <c r="B9" s="306"/>
      <c r="C9" s="259" t="s">
        <v>305</v>
      </c>
      <c r="D9" s="258"/>
      <c r="E9" s="312">
        <v>0.03</v>
      </c>
      <c r="F9" s="306"/>
      <c r="G9" s="306"/>
      <c r="H9" s="306"/>
      <c r="I9" s="306"/>
      <c r="J9" s="306"/>
      <c r="K9" s="306"/>
      <c r="L9" s="306"/>
      <c r="M9" s="306"/>
      <c r="N9" s="306"/>
      <c r="O9" s="306"/>
      <c r="P9" s="306"/>
      <c r="Q9" s="306"/>
      <c r="R9" s="306"/>
      <c r="S9" s="306"/>
      <c r="T9" s="306"/>
      <c r="U9" s="306"/>
      <c r="V9" s="306"/>
      <c r="W9" s="306"/>
      <c r="X9" s="306"/>
      <c r="Y9" s="306"/>
      <c r="Z9" s="306"/>
      <c r="AA9" s="306"/>
    </row>
    <row r="10">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row>
    <row r="11" ht="15.75" customHeight="1">
      <c r="A11" s="13"/>
      <c r="B11" s="13"/>
      <c r="C11" s="174"/>
      <c r="D11" s="313"/>
      <c r="E11" s="314" t="s">
        <v>306</v>
      </c>
      <c r="F11" s="314" t="s">
        <v>307</v>
      </c>
      <c r="G11" s="314" t="s">
        <v>308</v>
      </c>
      <c r="H11" s="314" t="s">
        <v>309</v>
      </c>
      <c r="I11" s="314" t="s">
        <v>310</v>
      </c>
      <c r="J11" s="314" t="s">
        <v>311</v>
      </c>
      <c r="K11" s="314" t="s">
        <v>312</v>
      </c>
      <c r="L11" s="314" t="s">
        <v>313</v>
      </c>
      <c r="M11" s="314" t="s">
        <v>314</v>
      </c>
      <c r="N11" s="315" t="s">
        <v>315</v>
      </c>
      <c r="O11" s="200"/>
      <c r="P11" s="316" t="s">
        <v>316</v>
      </c>
      <c r="Q11" s="315" t="s">
        <v>317</v>
      </c>
      <c r="R11" s="13"/>
      <c r="S11" s="13"/>
      <c r="T11" s="13"/>
      <c r="U11" s="13"/>
      <c r="V11" s="13"/>
      <c r="W11" s="13"/>
      <c r="X11" s="13"/>
      <c r="Y11" s="13"/>
      <c r="Z11" s="13"/>
      <c r="AA11" s="13"/>
    </row>
    <row r="12">
      <c r="A12" s="13"/>
      <c r="B12" s="317" t="s">
        <v>318</v>
      </c>
      <c r="C12" s="318" t="str">
        <f>'Income &amp; Expenses (P3RTO)'!B65</f>
        <v>Potential Gross Rental Revenue</v>
      </c>
      <c r="D12" s="319"/>
      <c r="E12" s="320">
        <f>'Income &amp; Expenses (P3RTO)'!H38</f>
        <v>704124</v>
      </c>
      <c r="F12" s="320">
        <f t="shared" ref="F12:N12" si="1">E12*(1+$E$7)</f>
        <v>718206.48</v>
      </c>
      <c r="G12" s="320">
        <f t="shared" si="1"/>
        <v>732570.6096</v>
      </c>
      <c r="H12" s="320">
        <f t="shared" si="1"/>
        <v>747222.0218</v>
      </c>
      <c r="I12" s="320">
        <f t="shared" si="1"/>
        <v>762166.4622</v>
      </c>
      <c r="J12" s="320">
        <f t="shared" si="1"/>
        <v>777409.7915</v>
      </c>
      <c r="K12" s="320">
        <f t="shared" si="1"/>
        <v>792957.9873</v>
      </c>
      <c r="L12" s="320">
        <f t="shared" si="1"/>
        <v>808817.147</v>
      </c>
      <c r="M12" s="320">
        <f t="shared" si="1"/>
        <v>824993.49</v>
      </c>
      <c r="N12" s="321">
        <f t="shared" si="1"/>
        <v>841493.3598</v>
      </c>
      <c r="O12" s="322"/>
      <c r="P12" s="323">
        <f>N12*(1+$E$7)^5</f>
        <v>929076.6646</v>
      </c>
      <c r="Q12" s="321">
        <f>N12*(1+$E$7)^10</f>
        <v>1025775.71</v>
      </c>
      <c r="R12" s="13"/>
      <c r="S12" s="13"/>
      <c r="T12" s="13"/>
      <c r="U12" s="13"/>
      <c r="V12" s="13"/>
      <c r="W12" s="13"/>
      <c r="X12" s="13"/>
      <c r="Y12" s="13"/>
      <c r="Z12" s="13"/>
      <c r="AA12" s="13"/>
    </row>
    <row r="13">
      <c r="A13" s="13"/>
      <c r="B13" s="168"/>
      <c r="C13" s="230" t="str">
        <f>'Income &amp; Expenses (P3RTO)'!B66</f>
        <v>Residential Vacancy Rate &amp; Credit Loss</v>
      </c>
      <c r="D13" s="13"/>
      <c r="E13" s="322">
        <f>'Income &amp; Expenses (P3RTO)'!D66</f>
        <v>-49288.68</v>
      </c>
      <c r="F13" s="322">
        <f t="shared" ref="F13:N13" si="2">-F12*$E$5</f>
        <v>-50274.4536</v>
      </c>
      <c r="G13" s="322">
        <f t="shared" si="2"/>
        <v>-51279.94267</v>
      </c>
      <c r="H13" s="322">
        <f t="shared" si="2"/>
        <v>-52305.54153</v>
      </c>
      <c r="I13" s="322">
        <f t="shared" si="2"/>
        <v>-53351.65236</v>
      </c>
      <c r="J13" s="322">
        <f t="shared" si="2"/>
        <v>-54418.6854</v>
      </c>
      <c r="K13" s="322">
        <f t="shared" si="2"/>
        <v>-55507.05911</v>
      </c>
      <c r="L13" s="322">
        <f t="shared" si="2"/>
        <v>-56617.20029</v>
      </c>
      <c r="M13" s="322">
        <f t="shared" si="2"/>
        <v>-57749.5443</v>
      </c>
      <c r="N13" s="325">
        <f t="shared" si="2"/>
        <v>-58904.53519</v>
      </c>
      <c r="O13" s="322"/>
      <c r="P13" s="324">
        <f t="shared" ref="P13:Q13" si="3">-P12*$E$5</f>
        <v>-65035.36652</v>
      </c>
      <c r="Q13" s="325">
        <f t="shared" si="3"/>
        <v>-71804.2997</v>
      </c>
      <c r="R13" s="13"/>
      <c r="S13" s="13"/>
      <c r="T13" s="13"/>
      <c r="U13" s="13"/>
      <c r="V13" s="13"/>
      <c r="W13" s="13"/>
      <c r="X13" s="13"/>
      <c r="Y13" s="13"/>
      <c r="Z13" s="13"/>
      <c r="AA13" s="13"/>
    </row>
    <row r="14">
      <c r="A14" s="13"/>
      <c r="B14" s="168"/>
      <c r="C14" s="172" t="s">
        <v>319</v>
      </c>
      <c r="D14" s="326"/>
      <c r="E14" s="327">
        <f t="shared" ref="E14:N14" si="4">SUM(E12:E13)</f>
        <v>654835.32</v>
      </c>
      <c r="F14" s="327">
        <f t="shared" si="4"/>
        <v>667932.0264</v>
      </c>
      <c r="G14" s="327">
        <f t="shared" si="4"/>
        <v>681290.6669</v>
      </c>
      <c r="H14" s="327">
        <f t="shared" si="4"/>
        <v>694916.4803</v>
      </c>
      <c r="I14" s="327">
        <f t="shared" si="4"/>
        <v>708814.8099</v>
      </c>
      <c r="J14" s="327">
        <f t="shared" si="4"/>
        <v>722991.1061</v>
      </c>
      <c r="K14" s="327">
        <f t="shared" si="4"/>
        <v>737450.9282</v>
      </c>
      <c r="L14" s="327">
        <f t="shared" si="4"/>
        <v>752199.9468</v>
      </c>
      <c r="M14" s="327">
        <f t="shared" si="4"/>
        <v>767243.9457</v>
      </c>
      <c r="N14" s="328">
        <f t="shared" si="4"/>
        <v>782588.8246</v>
      </c>
      <c r="O14" s="322"/>
      <c r="P14" s="329">
        <f t="shared" ref="P14:Q14" si="5">SUM(P12:P13)</f>
        <v>864041.298</v>
      </c>
      <c r="Q14" s="328">
        <f t="shared" si="5"/>
        <v>953971.4103</v>
      </c>
      <c r="R14" s="13"/>
      <c r="S14" s="13"/>
      <c r="T14" s="13"/>
      <c r="U14" s="13"/>
      <c r="V14" s="13"/>
      <c r="W14" s="13"/>
      <c r="X14" s="13"/>
      <c r="Y14" s="13"/>
      <c r="Z14" s="13"/>
      <c r="AA14" s="13"/>
    </row>
    <row r="15">
      <c r="A15" s="13"/>
      <c r="B15" s="168"/>
      <c r="C15" s="230"/>
      <c r="D15" s="13"/>
      <c r="E15" s="322"/>
      <c r="F15" s="322"/>
      <c r="G15" s="322"/>
      <c r="H15" s="322"/>
      <c r="I15" s="322"/>
      <c r="J15" s="322"/>
      <c r="K15" s="322"/>
      <c r="L15" s="322"/>
      <c r="M15" s="322"/>
      <c r="N15" s="325"/>
      <c r="O15" s="322"/>
      <c r="P15" s="324"/>
      <c r="Q15" s="325"/>
      <c r="R15" s="13"/>
      <c r="S15" s="13"/>
      <c r="T15" s="13"/>
      <c r="U15" s="13"/>
      <c r="V15" s="13"/>
      <c r="W15" s="13"/>
      <c r="X15" s="13"/>
      <c r="Y15" s="13"/>
      <c r="Z15" s="13"/>
      <c r="AA15" s="13"/>
    </row>
    <row r="16">
      <c r="A16" s="13"/>
      <c r="B16" s="168"/>
      <c r="C16" s="230" t="str">
        <f>'Income &amp; Expenses (P3RTO)'!B69</f>
        <v>Potential Gross Commercial Revenue</v>
      </c>
      <c r="D16" s="13"/>
      <c r="E16" s="330">
        <f>'Income &amp; Expenses (P3RTO)'!D69</f>
        <v>0</v>
      </c>
      <c r="F16" s="322">
        <f t="shared" ref="F16:N16" si="6">E16*(1+$E$8)</f>
        <v>0</v>
      </c>
      <c r="G16" s="322">
        <f t="shared" si="6"/>
        <v>0</v>
      </c>
      <c r="H16" s="322">
        <f t="shared" si="6"/>
        <v>0</v>
      </c>
      <c r="I16" s="322">
        <f t="shared" si="6"/>
        <v>0</v>
      </c>
      <c r="J16" s="322">
        <f t="shared" si="6"/>
        <v>0</v>
      </c>
      <c r="K16" s="322">
        <f t="shared" si="6"/>
        <v>0</v>
      </c>
      <c r="L16" s="322">
        <f t="shared" si="6"/>
        <v>0</v>
      </c>
      <c r="M16" s="322">
        <f t="shared" si="6"/>
        <v>0</v>
      </c>
      <c r="N16" s="325">
        <f t="shared" si="6"/>
        <v>0</v>
      </c>
      <c r="O16" s="322"/>
      <c r="P16" s="324">
        <f>N16*(1+$E$8)^5</f>
        <v>0</v>
      </c>
      <c r="Q16" s="325">
        <f>N16*(1+$E$8)^10</f>
        <v>0</v>
      </c>
      <c r="R16" s="13"/>
      <c r="S16" s="13"/>
      <c r="T16" s="13"/>
      <c r="U16" s="13"/>
      <c r="V16" s="13"/>
      <c r="W16" s="13"/>
      <c r="X16" s="13"/>
      <c r="Y16" s="13"/>
      <c r="Z16" s="13"/>
      <c r="AA16" s="13"/>
    </row>
    <row r="17">
      <c r="A17" s="13"/>
      <c r="B17" s="168"/>
      <c r="C17" s="230" t="str">
        <f>'Income &amp; Expenses (P3RTO)'!B70</f>
        <v>Commercial Vacancy Rate</v>
      </c>
      <c r="D17" s="13"/>
      <c r="E17" s="330">
        <f>'Income &amp; Expenses (P3RTO)'!D70</f>
        <v>0</v>
      </c>
      <c r="F17" s="330">
        <f t="shared" ref="F17:N17" si="7">F16*$E$6</f>
        <v>0</v>
      </c>
      <c r="G17" s="330">
        <f t="shared" si="7"/>
        <v>0</v>
      </c>
      <c r="H17" s="330">
        <f t="shared" si="7"/>
        <v>0</v>
      </c>
      <c r="I17" s="330">
        <f t="shared" si="7"/>
        <v>0</v>
      </c>
      <c r="J17" s="330">
        <f t="shared" si="7"/>
        <v>0</v>
      </c>
      <c r="K17" s="330">
        <f t="shared" si="7"/>
        <v>0</v>
      </c>
      <c r="L17" s="330">
        <f t="shared" si="7"/>
        <v>0</v>
      </c>
      <c r="M17" s="330">
        <f t="shared" si="7"/>
        <v>0</v>
      </c>
      <c r="N17" s="331">
        <f t="shared" si="7"/>
        <v>0</v>
      </c>
      <c r="O17" s="322"/>
      <c r="P17" s="332">
        <f t="shared" ref="P17:Q17" si="8">P16*$E$6</f>
        <v>0</v>
      </c>
      <c r="Q17" s="331">
        <f t="shared" si="8"/>
        <v>0</v>
      </c>
      <c r="R17" s="13"/>
      <c r="S17" s="13"/>
      <c r="T17" s="13"/>
      <c r="U17" s="13"/>
      <c r="V17" s="13"/>
      <c r="W17" s="13"/>
      <c r="X17" s="13"/>
      <c r="Y17" s="13"/>
      <c r="Z17" s="13"/>
      <c r="AA17" s="13"/>
    </row>
    <row r="18">
      <c r="A18" s="13"/>
      <c r="B18" s="168"/>
      <c r="C18" s="172" t="s">
        <v>320</v>
      </c>
      <c r="D18" s="326"/>
      <c r="E18" s="327">
        <f t="shared" ref="E18:N18" si="9">SUM(E16:E17)</f>
        <v>0</v>
      </c>
      <c r="F18" s="327">
        <f t="shared" si="9"/>
        <v>0</v>
      </c>
      <c r="G18" s="327">
        <f t="shared" si="9"/>
        <v>0</v>
      </c>
      <c r="H18" s="327">
        <f t="shared" si="9"/>
        <v>0</v>
      </c>
      <c r="I18" s="327">
        <f t="shared" si="9"/>
        <v>0</v>
      </c>
      <c r="J18" s="327">
        <f t="shared" si="9"/>
        <v>0</v>
      </c>
      <c r="K18" s="327">
        <f t="shared" si="9"/>
        <v>0</v>
      </c>
      <c r="L18" s="327">
        <f t="shared" si="9"/>
        <v>0</v>
      </c>
      <c r="M18" s="327">
        <f t="shared" si="9"/>
        <v>0</v>
      </c>
      <c r="N18" s="328">
        <f t="shared" si="9"/>
        <v>0</v>
      </c>
      <c r="O18" s="322"/>
      <c r="P18" s="329">
        <f t="shared" ref="P18:Q18" si="10">SUM(P16:P17)</f>
        <v>0</v>
      </c>
      <c r="Q18" s="328">
        <f t="shared" si="10"/>
        <v>0</v>
      </c>
      <c r="R18" s="13"/>
      <c r="S18" s="13"/>
      <c r="T18" s="13"/>
      <c r="U18" s="13"/>
      <c r="V18" s="13"/>
      <c r="W18" s="13"/>
      <c r="X18" s="13"/>
      <c r="Y18" s="13"/>
      <c r="Z18" s="13"/>
      <c r="AA18" s="13"/>
    </row>
    <row r="19">
      <c r="A19" s="13"/>
      <c r="B19" s="168"/>
      <c r="C19" s="230"/>
      <c r="D19" s="13"/>
      <c r="E19" s="322"/>
      <c r="F19" s="322"/>
      <c r="G19" s="322"/>
      <c r="H19" s="322"/>
      <c r="I19" s="322"/>
      <c r="J19" s="322"/>
      <c r="K19" s="322"/>
      <c r="L19" s="322"/>
      <c r="M19" s="322"/>
      <c r="N19" s="325"/>
      <c r="O19" s="322"/>
      <c r="P19" s="324"/>
      <c r="Q19" s="325"/>
      <c r="R19" s="13"/>
      <c r="S19" s="13"/>
      <c r="T19" s="13"/>
      <c r="U19" s="13"/>
      <c r="V19" s="13"/>
      <c r="W19" s="13"/>
      <c r="X19" s="13"/>
      <c r="Y19" s="13"/>
      <c r="Z19" s="13"/>
      <c r="AA19" s="13"/>
    </row>
    <row r="20">
      <c r="A20" s="13"/>
      <c r="B20" s="168"/>
      <c r="C20" s="230" t="s">
        <v>321</v>
      </c>
      <c r="D20" s="13"/>
      <c r="E20" s="322">
        <f>'Income &amp; Expenses (P3RTO)'!F48</f>
        <v>0</v>
      </c>
      <c r="F20" s="322">
        <f t="shared" ref="F20:N20" si="11">E20*(1+$E$7)</f>
        <v>0</v>
      </c>
      <c r="G20" s="322">
        <f t="shared" si="11"/>
        <v>0</v>
      </c>
      <c r="H20" s="322">
        <f t="shared" si="11"/>
        <v>0</v>
      </c>
      <c r="I20" s="322">
        <f t="shared" si="11"/>
        <v>0</v>
      </c>
      <c r="J20" s="322">
        <f t="shared" si="11"/>
        <v>0</v>
      </c>
      <c r="K20" s="322">
        <f t="shared" si="11"/>
        <v>0</v>
      </c>
      <c r="L20" s="322">
        <f t="shared" si="11"/>
        <v>0</v>
      </c>
      <c r="M20" s="322">
        <f t="shared" si="11"/>
        <v>0</v>
      </c>
      <c r="N20" s="325">
        <f t="shared" si="11"/>
        <v>0</v>
      </c>
      <c r="O20" s="322"/>
      <c r="P20" s="324">
        <f>N20*(1+$E$7)^5</f>
        <v>0</v>
      </c>
      <c r="Q20" s="325">
        <f>N20*(1+$E$7)^10</f>
        <v>0</v>
      </c>
      <c r="R20" s="13"/>
      <c r="S20" s="13"/>
      <c r="T20" s="13"/>
      <c r="U20" s="13"/>
      <c r="V20" s="13"/>
      <c r="W20" s="13"/>
      <c r="X20" s="13"/>
      <c r="Y20" s="13"/>
      <c r="Z20" s="13"/>
      <c r="AA20" s="13"/>
    </row>
    <row r="21" ht="15.75" customHeight="1">
      <c r="A21" s="13"/>
      <c r="B21" s="168"/>
      <c r="C21" s="285"/>
      <c r="D21" s="333"/>
      <c r="E21" s="334"/>
      <c r="F21" s="334"/>
      <c r="G21" s="334"/>
      <c r="H21" s="334"/>
      <c r="I21" s="334"/>
      <c r="J21" s="334"/>
      <c r="K21" s="334"/>
      <c r="L21" s="334"/>
      <c r="M21" s="334"/>
      <c r="N21" s="335"/>
      <c r="O21" s="322"/>
      <c r="P21" s="336"/>
      <c r="Q21" s="335"/>
      <c r="R21" s="13"/>
      <c r="S21" s="13"/>
      <c r="T21" s="13"/>
      <c r="U21" s="13"/>
      <c r="V21" s="13"/>
      <c r="W21" s="13"/>
      <c r="X21" s="13"/>
      <c r="Y21" s="13"/>
      <c r="Z21" s="13"/>
      <c r="AA21" s="13"/>
    </row>
    <row r="22" ht="15.75" customHeight="1">
      <c r="A22" s="13"/>
      <c r="B22" s="171"/>
      <c r="C22" s="337" t="s">
        <v>322</v>
      </c>
      <c r="D22" s="21"/>
      <c r="E22" s="338">
        <f t="shared" ref="E22:N22" si="12">E14+E18+E20</f>
        <v>654835.32</v>
      </c>
      <c r="F22" s="338">
        <f t="shared" si="12"/>
        <v>667932.0264</v>
      </c>
      <c r="G22" s="338">
        <f t="shared" si="12"/>
        <v>681290.6669</v>
      </c>
      <c r="H22" s="338">
        <f t="shared" si="12"/>
        <v>694916.4803</v>
      </c>
      <c r="I22" s="338">
        <f t="shared" si="12"/>
        <v>708814.8099</v>
      </c>
      <c r="J22" s="338">
        <f t="shared" si="12"/>
        <v>722991.1061</v>
      </c>
      <c r="K22" s="338">
        <f t="shared" si="12"/>
        <v>737450.9282</v>
      </c>
      <c r="L22" s="338">
        <f t="shared" si="12"/>
        <v>752199.9468</v>
      </c>
      <c r="M22" s="338">
        <f t="shared" si="12"/>
        <v>767243.9457</v>
      </c>
      <c r="N22" s="339">
        <f t="shared" si="12"/>
        <v>782588.8246</v>
      </c>
      <c r="O22" s="340"/>
      <c r="P22" s="341">
        <f t="shared" ref="P22:Q22" si="13">P14+P18+P20</f>
        <v>864041.298</v>
      </c>
      <c r="Q22" s="339">
        <f t="shared" si="13"/>
        <v>953971.4103</v>
      </c>
      <c r="R22" s="13"/>
      <c r="S22" s="13"/>
      <c r="T22" s="13"/>
      <c r="U22" s="13"/>
      <c r="V22" s="13"/>
      <c r="W22" s="13"/>
      <c r="X22" s="13"/>
      <c r="Y22" s="13"/>
      <c r="Z22" s="13"/>
      <c r="AA22" s="13"/>
    </row>
    <row r="23" ht="15.75" customHeight="1">
      <c r="A23" s="13"/>
      <c r="B23" s="13"/>
      <c r="C23" s="13"/>
      <c r="D23" s="13"/>
      <c r="E23" s="322"/>
      <c r="F23" s="322"/>
      <c r="G23" s="322"/>
      <c r="H23" s="322"/>
      <c r="I23" s="322"/>
      <c r="J23" s="322"/>
      <c r="K23" s="322"/>
      <c r="L23" s="322"/>
      <c r="M23" s="322"/>
      <c r="N23" s="322"/>
      <c r="O23" s="322"/>
      <c r="P23" s="322"/>
      <c r="Q23" s="322"/>
      <c r="R23" s="13"/>
      <c r="S23" s="13"/>
      <c r="T23" s="13"/>
      <c r="U23" s="13"/>
      <c r="V23" s="13"/>
      <c r="W23" s="13"/>
      <c r="X23" s="13"/>
      <c r="Y23" s="13"/>
      <c r="Z23" s="13"/>
      <c r="AA23" s="13"/>
    </row>
    <row r="24" ht="15.75" customHeight="1">
      <c r="A24" s="13"/>
      <c r="B24" s="317" t="s">
        <v>323</v>
      </c>
      <c r="C24" s="318" t="s">
        <v>324</v>
      </c>
      <c r="D24" s="319"/>
      <c r="E24" s="320">
        <f>'Income &amp; Expenses (P3RTO)'!C88</f>
        <v>143321.6047</v>
      </c>
      <c r="F24" s="320">
        <f t="shared" ref="F24:N24" si="14">E24*(1+$E$9)</f>
        <v>147621.2529</v>
      </c>
      <c r="G24" s="320">
        <f t="shared" si="14"/>
        <v>152049.8904</v>
      </c>
      <c r="H24" s="320">
        <f t="shared" si="14"/>
        <v>156611.3871</v>
      </c>
      <c r="I24" s="320">
        <f t="shared" si="14"/>
        <v>161309.7288</v>
      </c>
      <c r="J24" s="320">
        <f t="shared" si="14"/>
        <v>166149.0206</v>
      </c>
      <c r="K24" s="320">
        <f t="shared" si="14"/>
        <v>171133.4912</v>
      </c>
      <c r="L24" s="320">
        <f t="shared" si="14"/>
        <v>176267.496</v>
      </c>
      <c r="M24" s="320">
        <f t="shared" si="14"/>
        <v>181555.5209</v>
      </c>
      <c r="N24" s="321">
        <f t="shared" si="14"/>
        <v>187002.1865</v>
      </c>
      <c r="O24" s="322"/>
      <c r="P24" s="323">
        <f t="shared" ref="P24:P30" si="16">N24*(1+$E$9)^5</f>
        <v>216786.7866</v>
      </c>
      <c r="Q24" s="321">
        <f t="shared" ref="Q24:Q30" si="17">N24*(1+$E$9)^10</f>
        <v>251315.3014</v>
      </c>
      <c r="R24" s="13"/>
      <c r="S24" s="13"/>
      <c r="T24" s="13"/>
      <c r="U24" s="13"/>
      <c r="V24" s="13"/>
      <c r="W24" s="13"/>
      <c r="X24" s="13"/>
      <c r="Y24" s="13"/>
      <c r="Z24" s="13"/>
      <c r="AA24" s="13"/>
    </row>
    <row r="25" ht="15.75" customHeight="1">
      <c r="A25" s="13"/>
      <c r="B25" s="168"/>
      <c r="C25" s="230" t="s">
        <v>270</v>
      </c>
      <c r="D25" s="13"/>
      <c r="E25" s="322">
        <f>'Income &amp; Expenses (P3RTO)'!C94</f>
        <v>9620</v>
      </c>
      <c r="F25" s="322">
        <f t="shared" ref="F25:N25" si="15">E25*(1+$E$9)</f>
        <v>9908.6</v>
      </c>
      <c r="G25" s="322">
        <f t="shared" si="15"/>
        <v>10205.858</v>
      </c>
      <c r="H25" s="322">
        <f t="shared" si="15"/>
        <v>10512.03374</v>
      </c>
      <c r="I25" s="322">
        <f t="shared" si="15"/>
        <v>10827.39475</v>
      </c>
      <c r="J25" s="322">
        <f t="shared" si="15"/>
        <v>11152.21659</v>
      </c>
      <c r="K25" s="322">
        <f t="shared" si="15"/>
        <v>11486.78309</v>
      </c>
      <c r="L25" s="322">
        <f t="shared" si="15"/>
        <v>11831.38659</v>
      </c>
      <c r="M25" s="322">
        <f t="shared" si="15"/>
        <v>12186.32818</v>
      </c>
      <c r="N25" s="325">
        <f t="shared" si="15"/>
        <v>12551.91803</v>
      </c>
      <c r="O25" s="322"/>
      <c r="P25" s="324">
        <f t="shared" si="16"/>
        <v>14551.11315</v>
      </c>
      <c r="Q25" s="325">
        <f t="shared" si="17"/>
        <v>16868.72823</v>
      </c>
      <c r="R25" s="13"/>
      <c r="S25" s="13"/>
      <c r="T25" s="13"/>
      <c r="U25" s="13"/>
      <c r="V25" s="13"/>
      <c r="W25" s="13"/>
      <c r="X25" s="13"/>
      <c r="Y25" s="13"/>
      <c r="Z25" s="13"/>
      <c r="AA25" s="13"/>
    </row>
    <row r="26" ht="15.75" customHeight="1">
      <c r="A26" s="13"/>
      <c r="B26" s="168"/>
      <c r="C26" s="230" t="s">
        <v>275</v>
      </c>
      <c r="D26" s="13"/>
      <c r="E26" s="322">
        <f>'Income &amp; Expenses (P3RTO)'!C106</f>
        <v>92015</v>
      </c>
      <c r="F26" s="322">
        <f t="shared" ref="F26:N26" si="18">E26*(1+$E$9)</f>
        <v>94775.45</v>
      </c>
      <c r="G26" s="322">
        <f t="shared" si="18"/>
        <v>97618.7135</v>
      </c>
      <c r="H26" s="322">
        <f t="shared" si="18"/>
        <v>100547.2749</v>
      </c>
      <c r="I26" s="322">
        <f t="shared" si="18"/>
        <v>103563.6932</v>
      </c>
      <c r="J26" s="322">
        <f t="shared" si="18"/>
        <v>106670.6039</v>
      </c>
      <c r="K26" s="322">
        <f t="shared" si="18"/>
        <v>109870.7221</v>
      </c>
      <c r="L26" s="322">
        <f t="shared" si="18"/>
        <v>113166.8437</v>
      </c>
      <c r="M26" s="322">
        <f t="shared" si="18"/>
        <v>116561.849</v>
      </c>
      <c r="N26" s="325">
        <f t="shared" si="18"/>
        <v>120058.7045</v>
      </c>
      <c r="O26" s="322"/>
      <c r="P26" s="324">
        <f t="shared" si="16"/>
        <v>139180.9435</v>
      </c>
      <c r="Q26" s="325">
        <f t="shared" si="17"/>
        <v>161348.8595</v>
      </c>
      <c r="R26" s="13"/>
      <c r="S26" s="13"/>
      <c r="T26" s="13"/>
      <c r="U26" s="13"/>
      <c r="V26" s="13"/>
      <c r="W26" s="13"/>
      <c r="X26" s="13"/>
      <c r="Y26" s="13"/>
      <c r="Z26" s="13"/>
      <c r="AA26" s="13"/>
    </row>
    <row r="27" ht="15.75" customHeight="1">
      <c r="A27" s="13"/>
      <c r="B27" s="168"/>
      <c r="C27" s="230" t="s">
        <v>286</v>
      </c>
      <c r="D27" s="13"/>
      <c r="E27" s="322">
        <f>'Income &amp; Expenses (P3RTO)'!C111</f>
        <v>171157</v>
      </c>
      <c r="F27" s="322">
        <f t="shared" ref="F27:N27" si="19">E27*(1+$E$9)</f>
        <v>176291.71</v>
      </c>
      <c r="G27" s="322">
        <f t="shared" si="19"/>
        <v>181580.4613</v>
      </c>
      <c r="H27" s="322">
        <f t="shared" si="19"/>
        <v>187027.8751</v>
      </c>
      <c r="I27" s="322">
        <f t="shared" si="19"/>
        <v>192638.7114</v>
      </c>
      <c r="J27" s="322">
        <f t="shared" si="19"/>
        <v>198417.8727</v>
      </c>
      <c r="K27" s="322">
        <f t="shared" si="19"/>
        <v>204370.4089</v>
      </c>
      <c r="L27" s="322">
        <f t="shared" si="19"/>
        <v>210501.5212</v>
      </c>
      <c r="M27" s="322">
        <f t="shared" si="19"/>
        <v>216816.5668</v>
      </c>
      <c r="N27" s="325">
        <f t="shared" si="19"/>
        <v>223321.0638</v>
      </c>
      <c r="O27" s="322"/>
      <c r="P27" s="324">
        <f t="shared" si="16"/>
        <v>258890.3195</v>
      </c>
      <c r="Q27" s="325">
        <f t="shared" si="17"/>
        <v>300124.8355</v>
      </c>
      <c r="R27" s="13"/>
      <c r="S27" s="13"/>
      <c r="T27" s="13"/>
      <c r="U27" s="13"/>
      <c r="V27" s="13"/>
      <c r="W27" s="13"/>
      <c r="X27" s="13"/>
      <c r="Y27" s="13"/>
      <c r="Z27" s="13"/>
      <c r="AA27" s="13"/>
    </row>
    <row r="28" ht="15.75" customHeight="1">
      <c r="A28" s="13"/>
      <c r="B28" s="168"/>
      <c r="C28" s="230" t="s">
        <v>290</v>
      </c>
      <c r="D28" s="13"/>
      <c r="E28" s="322">
        <f>'Income &amp; Expenses (P3RTO)'!C116</f>
        <v>8397.531017</v>
      </c>
      <c r="F28" s="322">
        <f t="shared" ref="F28:N28" si="20">E28*(1+$E$9)</f>
        <v>8649.456948</v>
      </c>
      <c r="G28" s="322">
        <f t="shared" si="20"/>
        <v>8908.940656</v>
      </c>
      <c r="H28" s="322">
        <f t="shared" si="20"/>
        <v>9176.208876</v>
      </c>
      <c r="I28" s="322">
        <f t="shared" si="20"/>
        <v>9451.495142</v>
      </c>
      <c r="J28" s="322">
        <f t="shared" si="20"/>
        <v>9735.039997</v>
      </c>
      <c r="K28" s="322">
        <f t="shared" si="20"/>
        <v>10027.0912</v>
      </c>
      <c r="L28" s="322">
        <f t="shared" si="20"/>
        <v>10327.90393</v>
      </c>
      <c r="M28" s="322">
        <f t="shared" si="20"/>
        <v>10637.74105</v>
      </c>
      <c r="N28" s="325">
        <f t="shared" si="20"/>
        <v>10956.87328</v>
      </c>
      <c r="O28" s="322"/>
      <c r="P28" s="324">
        <f t="shared" si="16"/>
        <v>12702.01913</v>
      </c>
      <c r="Q28" s="325">
        <f t="shared" si="17"/>
        <v>14725.12147</v>
      </c>
      <c r="R28" s="13"/>
      <c r="S28" s="13"/>
      <c r="T28" s="13"/>
      <c r="U28" s="13"/>
      <c r="V28" s="13"/>
      <c r="W28" s="13"/>
      <c r="X28" s="13"/>
      <c r="Y28" s="13"/>
      <c r="Z28" s="13"/>
      <c r="AA28" s="13"/>
    </row>
    <row r="29" ht="15.75" customHeight="1">
      <c r="A29" s="13"/>
      <c r="B29" s="168"/>
      <c r="C29" s="230" t="s">
        <v>293</v>
      </c>
      <c r="D29" s="13"/>
      <c r="E29" s="322">
        <f>'Income &amp; Expenses (P3RTO)'!C121</f>
        <v>11000</v>
      </c>
      <c r="F29" s="322">
        <f t="shared" ref="F29:N29" si="21">E29*(1+$E$9)</f>
        <v>11330</v>
      </c>
      <c r="G29" s="322">
        <f t="shared" si="21"/>
        <v>11669.9</v>
      </c>
      <c r="H29" s="322">
        <f t="shared" si="21"/>
        <v>12019.997</v>
      </c>
      <c r="I29" s="322">
        <f t="shared" si="21"/>
        <v>12380.59691</v>
      </c>
      <c r="J29" s="322">
        <f t="shared" si="21"/>
        <v>12752.01482</v>
      </c>
      <c r="K29" s="322">
        <f t="shared" si="21"/>
        <v>13134.57526</v>
      </c>
      <c r="L29" s="322">
        <f t="shared" si="21"/>
        <v>13528.61252</v>
      </c>
      <c r="M29" s="322">
        <f t="shared" si="21"/>
        <v>13934.4709</v>
      </c>
      <c r="N29" s="325">
        <f t="shared" si="21"/>
        <v>14352.50502</v>
      </c>
      <c r="O29" s="322"/>
      <c r="P29" s="324">
        <f t="shared" si="16"/>
        <v>16638.48697</v>
      </c>
      <c r="Q29" s="325">
        <f t="shared" si="17"/>
        <v>19288.56658</v>
      </c>
      <c r="R29" s="13"/>
      <c r="S29" s="13"/>
      <c r="T29" s="13"/>
      <c r="U29" s="13"/>
      <c r="V29" s="13"/>
      <c r="W29" s="13"/>
      <c r="X29" s="13"/>
      <c r="Y29" s="13"/>
      <c r="Z29" s="13"/>
      <c r="AA29" s="13"/>
    </row>
    <row r="30" ht="15.75" customHeight="1">
      <c r="A30" s="13"/>
      <c r="B30" s="168"/>
      <c r="C30" s="285" t="s">
        <v>141</v>
      </c>
      <c r="D30" s="333"/>
      <c r="E30" s="334">
        <f>'Income &amp; Expenses (P3RTO)'!C125</f>
        <v>11100</v>
      </c>
      <c r="F30" s="334">
        <f t="shared" ref="F30:N30" si="22">E30*(1+$E$9)</f>
        <v>11433</v>
      </c>
      <c r="G30" s="334">
        <f t="shared" si="22"/>
        <v>11775.99</v>
      </c>
      <c r="H30" s="334">
        <f t="shared" si="22"/>
        <v>12129.2697</v>
      </c>
      <c r="I30" s="334">
        <f t="shared" si="22"/>
        <v>12493.14779</v>
      </c>
      <c r="J30" s="334">
        <f t="shared" si="22"/>
        <v>12867.94222</v>
      </c>
      <c r="K30" s="334">
        <f t="shared" si="22"/>
        <v>13253.98049</v>
      </c>
      <c r="L30" s="334">
        <f t="shared" si="22"/>
        <v>13651.59991</v>
      </c>
      <c r="M30" s="334">
        <f t="shared" si="22"/>
        <v>14061.1479</v>
      </c>
      <c r="N30" s="335">
        <f t="shared" si="22"/>
        <v>14482.98234</v>
      </c>
      <c r="O30" s="322"/>
      <c r="P30" s="336">
        <f t="shared" si="16"/>
        <v>16789.74595</v>
      </c>
      <c r="Q30" s="335">
        <f t="shared" si="17"/>
        <v>19463.91719</v>
      </c>
      <c r="R30" s="13"/>
      <c r="S30" s="13"/>
      <c r="T30" s="13"/>
      <c r="U30" s="13"/>
      <c r="V30" s="13"/>
      <c r="W30" s="13"/>
      <c r="X30" s="13"/>
      <c r="Y30" s="13"/>
      <c r="Z30" s="13"/>
      <c r="AA30" s="13"/>
    </row>
    <row r="31" ht="15.75" customHeight="1">
      <c r="A31" s="13"/>
      <c r="B31" s="171"/>
      <c r="C31" s="337" t="s">
        <v>325</v>
      </c>
      <c r="D31" s="21"/>
      <c r="E31" s="338">
        <f t="shared" ref="E31:N31" si="23">SUM(E24:E30)</f>
        <v>446611.1357</v>
      </c>
      <c r="F31" s="338">
        <f t="shared" si="23"/>
        <v>460009.4698</v>
      </c>
      <c r="G31" s="338">
        <f t="shared" si="23"/>
        <v>473809.7539</v>
      </c>
      <c r="H31" s="338">
        <f t="shared" si="23"/>
        <v>488024.0465</v>
      </c>
      <c r="I31" s="338">
        <f t="shared" si="23"/>
        <v>502664.7679</v>
      </c>
      <c r="J31" s="338">
        <f t="shared" si="23"/>
        <v>517744.7109</v>
      </c>
      <c r="K31" s="338">
        <f t="shared" si="23"/>
        <v>533277.0523</v>
      </c>
      <c r="L31" s="338">
        <f t="shared" si="23"/>
        <v>549275.3638</v>
      </c>
      <c r="M31" s="338">
        <f t="shared" si="23"/>
        <v>565753.6248</v>
      </c>
      <c r="N31" s="339">
        <f t="shared" si="23"/>
        <v>582726.2335</v>
      </c>
      <c r="O31" s="340"/>
      <c r="P31" s="341">
        <f t="shared" ref="P31:Q31" si="24">SUM(P24:P30)</f>
        <v>675539.4149</v>
      </c>
      <c r="Q31" s="339">
        <f t="shared" si="24"/>
        <v>783135.3299</v>
      </c>
      <c r="R31" s="13"/>
      <c r="S31" s="13"/>
      <c r="T31" s="13"/>
      <c r="U31" s="13"/>
      <c r="V31" s="13"/>
      <c r="W31" s="13"/>
      <c r="X31" s="13"/>
      <c r="Y31" s="13"/>
      <c r="Z31" s="13"/>
      <c r="AA31" s="13"/>
    </row>
    <row r="32" ht="15.75" customHeight="1">
      <c r="A32" s="13"/>
      <c r="B32" s="13"/>
      <c r="C32" s="13"/>
      <c r="D32" s="13"/>
      <c r="E32" s="322"/>
      <c r="F32" s="322"/>
      <c r="G32" s="322"/>
      <c r="H32" s="322"/>
      <c r="I32" s="322"/>
      <c r="J32" s="322"/>
      <c r="K32" s="322"/>
      <c r="L32" s="322"/>
      <c r="M32" s="322"/>
      <c r="N32" s="322"/>
      <c r="O32" s="322"/>
      <c r="P32" s="322"/>
      <c r="Q32" s="322"/>
      <c r="R32" s="13"/>
      <c r="S32" s="13"/>
      <c r="T32" s="13"/>
      <c r="U32" s="13"/>
      <c r="V32" s="13"/>
      <c r="W32" s="13"/>
      <c r="X32" s="13"/>
      <c r="Y32" s="13"/>
      <c r="Z32" s="13"/>
      <c r="AA32" s="13"/>
    </row>
    <row r="33" ht="15.75" customHeight="1">
      <c r="A33" s="13"/>
      <c r="B33" s="317" t="s">
        <v>326</v>
      </c>
      <c r="C33" s="318" t="s">
        <v>327</v>
      </c>
      <c r="D33" s="319"/>
      <c r="E33" s="343">
        <f t="shared" ref="E33:N33" si="25">E22-E31</f>
        <v>208224.1843</v>
      </c>
      <c r="F33" s="343">
        <f t="shared" si="25"/>
        <v>207922.5566</v>
      </c>
      <c r="G33" s="343">
        <f t="shared" si="25"/>
        <v>207480.913</v>
      </c>
      <c r="H33" s="343">
        <f t="shared" si="25"/>
        <v>206892.4338</v>
      </c>
      <c r="I33" s="343">
        <f t="shared" si="25"/>
        <v>206150.042</v>
      </c>
      <c r="J33" s="343">
        <f t="shared" si="25"/>
        <v>205246.3951</v>
      </c>
      <c r="K33" s="343">
        <f t="shared" si="25"/>
        <v>204173.8759</v>
      </c>
      <c r="L33" s="343">
        <f t="shared" si="25"/>
        <v>202924.5829</v>
      </c>
      <c r="M33" s="343">
        <f t="shared" si="25"/>
        <v>201490.3209</v>
      </c>
      <c r="N33" s="344">
        <f t="shared" si="25"/>
        <v>199862.5911</v>
      </c>
      <c r="O33" s="340"/>
      <c r="P33" s="345">
        <f t="shared" ref="P33:Q33" si="26">P22-P31</f>
        <v>188501.8831</v>
      </c>
      <c r="Q33" s="344">
        <f t="shared" si="26"/>
        <v>170836.0805</v>
      </c>
      <c r="R33" s="13"/>
      <c r="S33" s="13"/>
      <c r="T33" s="13"/>
      <c r="U33" s="13"/>
      <c r="V33" s="13"/>
      <c r="W33" s="13"/>
      <c r="X33" s="13"/>
      <c r="Y33" s="13"/>
      <c r="Z33" s="13"/>
      <c r="AA33" s="13"/>
    </row>
    <row r="34" ht="15.75" customHeight="1">
      <c r="A34" s="13"/>
      <c r="B34" s="168"/>
      <c r="C34" s="230"/>
      <c r="D34" s="13"/>
      <c r="E34" s="322"/>
      <c r="F34" s="322"/>
      <c r="G34" s="322"/>
      <c r="H34" s="322"/>
      <c r="I34" s="322"/>
      <c r="J34" s="322"/>
      <c r="K34" s="322"/>
      <c r="L34" s="322"/>
      <c r="M34" s="322"/>
      <c r="N34" s="325"/>
      <c r="O34" s="322"/>
      <c r="P34" s="324"/>
      <c r="Q34" s="325"/>
      <c r="R34" s="13"/>
      <c r="S34" s="13"/>
      <c r="T34" s="13"/>
      <c r="U34" s="13"/>
      <c r="V34" s="13"/>
      <c r="W34" s="13"/>
      <c r="X34" s="13"/>
      <c r="Y34" s="13"/>
      <c r="Z34" s="13"/>
      <c r="AA34" s="13"/>
    </row>
    <row r="35" ht="15.75" customHeight="1">
      <c r="A35" s="13"/>
      <c r="B35" s="168"/>
      <c r="C35" s="230" t="s">
        <v>82</v>
      </c>
      <c r="D35" s="13"/>
      <c r="E35" s="322">
        <f>-debtservtotal_three_rto</f>
        <v>-177212.0717</v>
      </c>
      <c r="F35" s="322">
        <f>-debtservtotal_three_rto</f>
        <v>-177212.0717</v>
      </c>
      <c r="G35" s="322">
        <f>-debtservtotal_three_rto</f>
        <v>-177212.0717</v>
      </c>
      <c r="H35" s="322">
        <f>-debtservtotal_three_rto</f>
        <v>-177212.0717</v>
      </c>
      <c r="I35" s="322">
        <f>-debtservtotal_three_rto</f>
        <v>-177212.0717</v>
      </c>
      <c r="J35" s="322">
        <f>-debtservtotal_three_rto</f>
        <v>-177212.0717</v>
      </c>
      <c r="K35" s="322">
        <f>-debtservtotal_three_rto</f>
        <v>-177212.0717</v>
      </c>
      <c r="L35" s="322">
        <f>-debtservtotal_three_rto</f>
        <v>-177212.0717</v>
      </c>
      <c r="M35" s="322">
        <f>-debtservtotal_three_rto</f>
        <v>-177212.0717</v>
      </c>
      <c r="N35" s="325">
        <f>-debtservtotal_three_rto</f>
        <v>-177212.0717</v>
      </c>
      <c r="O35" s="322"/>
      <c r="P35" s="324">
        <f>-debtservtotal_three_rto</f>
        <v>-177212.0717</v>
      </c>
      <c r="Q35" s="325">
        <f>-debtservtotal_three_rto</f>
        <v>-177212.0717</v>
      </c>
      <c r="R35" s="13"/>
      <c r="S35" s="13"/>
      <c r="T35" s="13"/>
      <c r="U35" s="13"/>
      <c r="V35" s="13"/>
      <c r="W35" s="13"/>
      <c r="X35" s="13"/>
      <c r="Y35" s="13"/>
      <c r="Z35" s="13"/>
      <c r="AA35" s="13"/>
    </row>
    <row r="36" ht="15.75" customHeight="1">
      <c r="A36" s="13"/>
      <c r="B36" s="168"/>
      <c r="C36" s="230" t="s">
        <v>328</v>
      </c>
      <c r="D36" s="13"/>
      <c r="E36" s="347">
        <f t="shared" ref="E36:N36" si="27">-E33/E35</f>
        <v>1.175</v>
      </c>
      <c r="F36" s="347">
        <f t="shared" si="27"/>
        <v>1.173297928</v>
      </c>
      <c r="G36" s="347">
        <f t="shared" si="27"/>
        <v>1.170805753</v>
      </c>
      <c r="H36" s="347">
        <f t="shared" si="27"/>
        <v>1.16748499</v>
      </c>
      <c r="I36" s="347">
        <f t="shared" si="27"/>
        <v>1.163295705</v>
      </c>
      <c r="J36" s="347">
        <f t="shared" si="27"/>
        <v>1.158196466</v>
      </c>
      <c r="K36" s="347">
        <f t="shared" si="27"/>
        <v>1.152144286</v>
      </c>
      <c r="L36" s="347">
        <f t="shared" si="27"/>
        <v>1.14509458</v>
      </c>
      <c r="M36" s="347">
        <f t="shared" si="27"/>
        <v>1.137001103</v>
      </c>
      <c r="N36" s="348">
        <f t="shared" si="27"/>
        <v>1.127815894</v>
      </c>
      <c r="O36" s="347"/>
      <c r="P36" s="349">
        <f t="shared" ref="P36:Q36" si="28">-P33/P35</f>
        <v>1.063707914</v>
      </c>
      <c r="Q36" s="348">
        <f t="shared" si="28"/>
        <v>0.9640205592</v>
      </c>
      <c r="R36" s="13"/>
      <c r="S36" s="13"/>
      <c r="T36" s="13"/>
      <c r="U36" s="13"/>
      <c r="V36" s="13"/>
      <c r="W36" s="13"/>
      <c r="X36" s="13"/>
      <c r="Y36" s="13"/>
      <c r="Z36" s="13"/>
      <c r="AA36" s="13"/>
    </row>
    <row r="37" ht="15.75" customHeight="1">
      <c r="A37" s="13"/>
      <c r="B37" s="168"/>
      <c r="C37" s="285"/>
      <c r="D37" s="333"/>
      <c r="E37" s="334"/>
      <c r="F37" s="334"/>
      <c r="G37" s="334"/>
      <c r="H37" s="334"/>
      <c r="I37" s="334"/>
      <c r="J37" s="334"/>
      <c r="K37" s="334"/>
      <c r="L37" s="334"/>
      <c r="M37" s="334"/>
      <c r="N37" s="335"/>
      <c r="O37" s="322"/>
      <c r="P37" s="336"/>
      <c r="Q37" s="335"/>
      <c r="R37" s="13"/>
      <c r="S37" s="13"/>
      <c r="T37" s="13"/>
      <c r="U37" s="13"/>
      <c r="V37" s="13"/>
      <c r="W37" s="13"/>
      <c r="X37" s="13"/>
      <c r="Y37" s="13"/>
      <c r="Z37" s="13"/>
      <c r="AA37" s="13"/>
    </row>
    <row r="38" ht="15.75" customHeight="1">
      <c r="A38" s="13"/>
      <c r="B38" s="171"/>
      <c r="C38" s="337" t="s">
        <v>329</v>
      </c>
      <c r="D38" s="21"/>
      <c r="E38" s="338">
        <f t="shared" ref="E38:N38" si="29">E33+E35</f>
        <v>31012.11255</v>
      </c>
      <c r="F38" s="338">
        <f t="shared" si="29"/>
        <v>30710.48488</v>
      </c>
      <c r="G38" s="338">
        <f t="shared" si="29"/>
        <v>30268.84131</v>
      </c>
      <c r="H38" s="338">
        <f t="shared" si="29"/>
        <v>29680.36204</v>
      </c>
      <c r="I38" s="338">
        <f t="shared" si="29"/>
        <v>28937.97025</v>
      </c>
      <c r="J38" s="338">
        <f t="shared" si="29"/>
        <v>28034.32341</v>
      </c>
      <c r="K38" s="338">
        <f t="shared" si="29"/>
        <v>26961.8042</v>
      </c>
      <c r="L38" s="338">
        <f t="shared" si="29"/>
        <v>25712.51119</v>
      </c>
      <c r="M38" s="338">
        <f t="shared" si="29"/>
        <v>24278.24921</v>
      </c>
      <c r="N38" s="339">
        <f t="shared" si="29"/>
        <v>22650.51939</v>
      </c>
      <c r="O38" s="340"/>
      <c r="P38" s="341">
        <f t="shared" ref="P38:Q38" si="30">P33+P35</f>
        <v>11289.81142</v>
      </c>
      <c r="Q38" s="339">
        <f t="shared" si="30"/>
        <v>-6375.991249</v>
      </c>
      <c r="R38" s="13"/>
      <c r="S38" s="13"/>
      <c r="T38" s="13"/>
      <c r="U38" s="13"/>
      <c r="V38" s="13"/>
      <c r="W38" s="13"/>
      <c r="X38" s="13"/>
      <c r="Y38" s="13"/>
      <c r="Z38" s="13"/>
      <c r="AA38" s="13"/>
    </row>
    <row r="39" ht="15.75" customHeight="1">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row>
    <row r="40" ht="15.75" customHeight="1">
      <c r="A40" s="13"/>
      <c r="B40" s="351" t="s">
        <v>330</v>
      </c>
      <c r="C40" s="318" t="s">
        <v>331</v>
      </c>
      <c r="D40" s="319"/>
      <c r="E40" s="320">
        <f>MIN('Sources &amp; Uses (P3RTO)'!$D$23/15,E38)</f>
        <v>25900</v>
      </c>
      <c r="F40" s="320">
        <f>MIN('Sources &amp; Uses (P3RTO)'!$D$23/15,F38)</f>
        <v>25900</v>
      </c>
      <c r="G40" s="320">
        <f>MIN('Sources &amp; Uses (P3RTO)'!$D$23/15,G38)</f>
        <v>25900</v>
      </c>
      <c r="H40" s="320">
        <f>MIN('Sources &amp; Uses (P3RTO)'!$D$23/15,H38)</f>
        <v>25900</v>
      </c>
      <c r="I40" s="320">
        <f>MIN('Sources &amp; Uses (P3RTO)'!$D$23/15,I38)</f>
        <v>25900</v>
      </c>
      <c r="J40" s="320">
        <f>MIN('Sources &amp; Uses (P3RTO)'!$D$23/15,J38)</f>
        <v>25900</v>
      </c>
      <c r="K40" s="320">
        <f>MIN('Sources &amp; Uses (P3RTO)'!$D$23/15,K38)</f>
        <v>25900</v>
      </c>
      <c r="L40" s="320">
        <f>MIN('Sources &amp; Uses (P3RTO)'!$D$23/15,L38)</f>
        <v>25712.51119</v>
      </c>
      <c r="M40" s="320">
        <f>MIN('Sources &amp; Uses (P3RTO)'!$D$23/15,M38)</f>
        <v>24278.24921</v>
      </c>
      <c r="N40" s="320">
        <f>MIN('Sources &amp; Uses (P3RTO)'!$D$23/15,N38)</f>
        <v>22650.51939</v>
      </c>
      <c r="O40" s="319"/>
      <c r="P40" s="320">
        <f>MIN(P38,N41-4*N40)</f>
        <v>11289.81142</v>
      </c>
      <c r="Q40" s="321">
        <v>0.0</v>
      </c>
      <c r="R40" s="13"/>
      <c r="S40" s="13"/>
      <c r="T40" s="13"/>
      <c r="U40" s="13"/>
      <c r="V40" s="13"/>
      <c r="W40" s="13"/>
      <c r="X40" s="13"/>
      <c r="Y40" s="13"/>
      <c r="Z40" s="13"/>
      <c r="AA40" s="13"/>
    </row>
    <row r="41" ht="15.75" customHeight="1">
      <c r="A41" s="13"/>
      <c r="B41" s="346"/>
      <c r="C41" s="352" t="s">
        <v>332</v>
      </c>
      <c r="D41" s="333"/>
      <c r="E41" s="354">
        <f>'Sources &amp; Uses (P3RTO)'!$D$23-'Cash Flow (P3RTO)'!E40</f>
        <v>362600</v>
      </c>
      <c r="F41" s="354">
        <f t="shared" ref="F41:N41" si="31">E41-F40</f>
        <v>336700</v>
      </c>
      <c r="G41" s="354">
        <f t="shared" si="31"/>
        <v>310800</v>
      </c>
      <c r="H41" s="354">
        <f t="shared" si="31"/>
        <v>284900</v>
      </c>
      <c r="I41" s="354">
        <f t="shared" si="31"/>
        <v>259000</v>
      </c>
      <c r="J41" s="354">
        <f t="shared" si="31"/>
        <v>233100</v>
      </c>
      <c r="K41" s="354">
        <f t="shared" si="31"/>
        <v>207200</v>
      </c>
      <c r="L41" s="354">
        <f t="shared" si="31"/>
        <v>181487.4888</v>
      </c>
      <c r="M41" s="354">
        <f t="shared" si="31"/>
        <v>157209.2396</v>
      </c>
      <c r="N41" s="354">
        <f t="shared" si="31"/>
        <v>134558.7202</v>
      </c>
      <c r="O41" s="353"/>
      <c r="P41" s="354">
        <f>(N41-4*N40)-P40</f>
        <v>32666.83125</v>
      </c>
      <c r="Q41" s="355">
        <f>P41</f>
        <v>32666.83125</v>
      </c>
      <c r="R41" s="13"/>
      <c r="S41" s="58"/>
      <c r="T41" s="13"/>
      <c r="U41" s="13"/>
      <c r="V41" s="13"/>
      <c r="W41" s="13"/>
      <c r="X41" s="13"/>
      <c r="Y41" s="13"/>
      <c r="Z41" s="13"/>
      <c r="AA41" s="13"/>
    </row>
    <row r="42" ht="15.75" customHeight="1">
      <c r="A42" s="13"/>
      <c r="B42" s="346"/>
      <c r="C42" s="278" t="s">
        <v>594</v>
      </c>
      <c r="D42" s="15"/>
      <c r="E42" s="340">
        <f t="shared" ref="E42:N42" si="32">E38-E40</f>
        <v>5112.112551</v>
      </c>
      <c r="F42" s="340">
        <f t="shared" si="32"/>
        <v>4810.484879</v>
      </c>
      <c r="G42" s="340">
        <f t="shared" si="32"/>
        <v>4368.841314</v>
      </c>
      <c r="H42" s="340">
        <f t="shared" si="32"/>
        <v>3780.362035</v>
      </c>
      <c r="I42" s="340">
        <f t="shared" si="32"/>
        <v>3037.970245</v>
      </c>
      <c r="J42" s="340">
        <f t="shared" si="32"/>
        <v>2134.323406</v>
      </c>
      <c r="K42" s="340">
        <f t="shared" si="32"/>
        <v>1061.804199</v>
      </c>
      <c r="L42" s="340">
        <f t="shared" si="32"/>
        <v>0</v>
      </c>
      <c r="M42" s="340">
        <f t="shared" si="32"/>
        <v>0</v>
      </c>
      <c r="N42" s="340">
        <f t="shared" si="32"/>
        <v>0</v>
      </c>
      <c r="O42" s="15"/>
      <c r="P42" s="340">
        <f t="shared" ref="P42:Q42" si="33">P38-P40</f>
        <v>0</v>
      </c>
      <c r="Q42" s="356">
        <f t="shared" si="33"/>
        <v>-6375.991249</v>
      </c>
      <c r="R42" s="13"/>
      <c r="S42" s="13"/>
      <c r="T42" s="13"/>
      <c r="U42" s="13"/>
      <c r="V42" s="13"/>
      <c r="W42" s="13"/>
      <c r="X42" s="13"/>
      <c r="Y42" s="13"/>
      <c r="Z42" s="13"/>
      <c r="AA42" s="13"/>
    </row>
    <row r="43" ht="15.75" customHeight="1">
      <c r="A43" s="13"/>
      <c r="B43" s="346"/>
      <c r="C43" s="357" t="s">
        <v>333</v>
      </c>
      <c r="D43" s="358">
        <v>0.9</v>
      </c>
      <c r="E43" s="359">
        <f t="shared" ref="E43:N43" si="34">E$42*$D43</f>
        <v>4600.901296</v>
      </c>
      <c r="F43" s="359">
        <f t="shared" si="34"/>
        <v>4329.436392</v>
      </c>
      <c r="G43" s="359">
        <f t="shared" si="34"/>
        <v>3931.957182</v>
      </c>
      <c r="H43" s="359">
        <f t="shared" si="34"/>
        <v>3402.325832</v>
      </c>
      <c r="I43" s="359">
        <f t="shared" si="34"/>
        <v>2734.173221</v>
      </c>
      <c r="J43" s="359">
        <f t="shared" si="34"/>
        <v>1920.891065</v>
      </c>
      <c r="K43" s="359">
        <f t="shared" si="34"/>
        <v>955.6237789</v>
      </c>
      <c r="L43" s="359">
        <f t="shared" si="34"/>
        <v>0</v>
      </c>
      <c r="M43" s="359">
        <f t="shared" si="34"/>
        <v>0</v>
      </c>
      <c r="N43" s="359">
        <f t="shared" si="34"/>
        <v>0</v>
      </c>
      <c r="O43" s="95"/>
      <c r="P43" s="359">
        <f t="shared" ref="P43:Q43" si="35">P$42*$D43</f>
        <v>0</v>
      </c>
      <c r="Q43" s="360">
        <f t="shared" si="35"/>
        <v>-5738.392124</v>
      </c>
      <c r="R43" s="13"/>
      <c r="S43" s="13"/>
      <c r="T43" s="13"/>
      <c r="U43" s="13"/>
      <c r="V43" s="13"/>
      <c r="W43" s="13"/>
      <c r="X43" s="13"/>
      <c r="Y43" s="13"/>
      <c r="Z43" s="13"/>
      <c r="AA43" s="13"/>
    </row>
    <row r="44" ht="15.75" customHeight="1">
      <c r="A44" s="13"/>
      <c r="B44" s="346"/>
      <c r="C44" s="357" t="s">
        <v>334</v>
      </c>
      <c r="D44" s="358">
        <v>0.05</v>
      </c>
      <c r="E44" s="359">
        <f t="shared" ref="E44:N44" si="36">E$42*$D44</f>
        <v>255.6056276</v>
      </c>
      <c r="F44" s="359">
        <f t="shared" si="36"/>
        <v>240.524244</v>
      </c>
      <c r="G44" s="359">
        <f t="shared" si="36"/>
        <v>218.4420657</v>
      </c>
      <c r="H44" s="359">
        <f t="shared" si="36"/>
        <v>189.0181018</v>
      </c>
      <c r="I44" s="359">
        <f t="shared" si="36"/>
        <v>151.8985123</v>
      </c>
      <c r="J44" s="359">
        <f t="shared" si="36"/>
        <v>106.7161703</v>
      </c>
      <c r="K44" s="359">
        <f t="shared" si="36"/>
        <v>53.09020994</v>
      </c>
      <c r="L44" s="359">
        <f t="shared" si="36"/>
        <v>0</v>
      </c>
      <c r="M44" s="359">
        <f t="shared" si="36"/>
        <v>0</v>
      </c>
      <c r="N44" s="359">
        <f t="shared" si="36"/>
        <v>0</v>
      </c>
      <c r="O44" s="95"/>
      <c r="P44" s="359">
        <f t="shared" ref="P44:Q44" si="37">P$42*$D44</f>
        <v>0</v>
      </c>
      <c r="Q44" s="360">
        <f t="shared" si="37"/>
        <v>-318.7995624</v>
      </c>
      <c r="R44" s="13"/>
      <c r="S44" s="13"/>
      <c r="T44" s="13"/>
      <c r="U44" s="13"/>
      <c r="V44" s="13"/>
      <c r="W44" s="13"/>
      <c r="X44" s="13"/>
      <c r="Y44" s="13"/>
      <c r="Z44" s="13"/>
      <c r="AA44" s="13"/>
    </row>
    <row r="45" ht="15.75" customHeight="1">
      <c r="A45" s="13"/>
      <c r="B45" s="350"/>
      <c r="C45" s="361" t="s">
        <v>335</v>
      </c>
      <c r="D45" s="362">
        <v>0.05</v>
      </c>
      <c r="E45" s="363">
        <f t="shared" ref="E45:N45" si="38">E$42*$D45</f>
        <v>255.6056276</v>
      </c>
      <c r="F45" s="363">
        <f t="shared" si="38"/>
        <v>240.524244</v>
      </c>
      <c r="G45" s="363">
        <f t="shared" si="38"/>
        <v>218.4420657</v>
      </c>
      <c r="H45" s="363">
        <f t="shared" si="38"/>
        <v>189.0181018</v>
      </c>
      <c r="I45" s="363">
        <f t="shared" si="38"/>
        <v>151.8985123</v>
      </c>
      <c r="J45" s="363">
        <f t="shared" si="38"/>
        <v>106.7161703</v>
      </c>
      <c r="K45" s="363">
        <f t="shared" si="38"/>
        <v>53.09020994</v>
      </c>
      <c r="L45" s="363">
        <f t="shared" si="38"/>
        <v>0</v>
      </c>
      <c r="M45" s="363">
        <f t="shared" si="38"/>
        <v>0</v>
      </c>
      <c r="N45" s="363">
        <f t="shared" si="38"/>
        <v>0</v>
      </c>
      <c r="O45" s="364"/>
      <c r="P45" s="363">
        <f t="shared" ref="P45:Q45" si="39">P$42*$D45</f>
        <v>0</v>
      </c>
      <c r="Q45" s="365">
        <f t="shared" si="39"/>
        <v>-318.7995624</v>
      </c>
      <c r="R45" s="13"/>
      <c r="S45" s="13"/>
      <c r="T45" s="13"/>
      <c r="U45" s="13"/>
      <c r="V45" s="13"/>
      <c r="W45" s="13"/>
      <c r="X45" s="13"/>
      <c r="Y45" s="13"/>
      <c r="Z45" s="13"/>
      <c r="AA45" s="13"/>
    </row>
    <row r="46" ht="15.75"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row>
    <row r="47" ht="15.75" customHeight="1">
      <c r="A47" s="13"/>
      <c r="B47" s="13"/>
      <c r="C47" s="13"/>
      <c r="D47" s="13"/>
      <c r="E47" s="322"/>
      <c r="F47" s="13"/>
      <c r="G47" s="13"/>
      <c r="H47" s="13"/>
      <c r="I47" s="13"/>
      <c r="J47" s="13"/>
      <c r="K47" s="13"/>
      <c r="L47" s="13"/>
      <c r="M47" s="13"/>
      <c r="N47" s="13"/>
      <c r="O47" s="13"/>
      <c r="P47" s="13"/>
      <c r="Q47" s="58" t="s">
        <v>658</v>
      </c>
      <c r="R47" s="13"/>
      <c r="S47" s="13"/>
      <c r="T47" s="13"/>
      <c r="U47" s="13"/>
      <c r="V47" s="13"/>
      <c r="W47" s="13"/>
      <c r="X47" s="13"/>
      <c r="Y47" s="13"/>
      <c r="Z47" s="13"/>
      <c r="AA47" s="13"/>
    </row>
    <row r="48" ht="15.75"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row>
    <row r="49" ht="15.7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row>
    <row r="50" ht="15.7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row>
    <row r="51" ht="15.7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row>
    <row r="52" ht="15.7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row>
    <row r="53" ht="15.7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row>
    <row r="54" ht="15.7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row>
    <row r="55" ht="15.7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5.7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5.7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5.7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5.75"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5.75"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5.7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5.7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5.75"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5.7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5.7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5.7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5.75"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5.75"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5.75"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5.75"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5.75"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5.7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5.7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5.7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5.7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5.7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5.75" customHeight="1">
      <c r="A79" s="13"/>
      <c r="B79" s="13"/>
      <c r="C79" s="57"/>
      <c r="D79" s="57"/>
      <c r="E79" s="13"/>
      <c r="F79" s="13"/>
      <c r="G79" s="13"/>
      <c r="H79" s="13"/>
      <c r="I79" s="13"/>
      <c r="J79" s="13"/>
      <c r="K79" s="13"/>
      <c r="L79" s="13"/>
      <c r="M79" s="13"/>
      <c r="N79" s="13"/>
      <c r="O79" s="13"/>
      <c r="P79" s="13"/>
      <c r="Q79" s="13"/>
      <c r="R79" s="13"/>
      <c r="S79" s="13"/>
      <c r="T79" s="13"/>
      <c r="U79" s="13"/>
      <c r="V79" s="13"/>
      <c r="W79" s="13"/>
      <c r="X79" s="13"/>
      <c r="Y79" s="13"/>
      <c r="Z79" s="13"/>
      <c r="AA79" s="13"/>
    </row>
    <row r="80" ht="15.7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5.7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5.7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5.7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5.7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5.7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5.7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5.7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5.7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5.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5.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5.7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5.7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5.7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5.7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5.7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5.7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5.7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5.7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5.7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5.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5.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5.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5.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5.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5.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5.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5.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5.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5.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5.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5.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5.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5.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5.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5.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5.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5.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5.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5.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5.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5.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5.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5.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5.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5.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5.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5.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row>
    <row r="223"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row>
    <row r="224"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row>
    <row r="225"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row>
    <row r="2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row>
    <row r="227"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row>
    <row r="228"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row>
    <row r="229"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row>
    <row r="230"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row>
    <row r="231"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row>
    <row r="232"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row>
    <row r="233"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row>
    <row r="234"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row>
    <row r="235"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row>
    <row r="23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row>
    <row r="237"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row>
    <row r="238"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row>
    <row r="239"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row>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B2:I2"/>
    <mergeCell ref="C4:E4"/>
    <mergeCell ref="B12:B22"/>
    <mergeCell ref="B24:B31"/>
    <mergeCell ref="B33:B38"/>
    <mergeCell ref="B40:B45"/>
  </mergeCells>
  <printOptions/>
  <pageMargins bottom="0.75" footer="0.0" header="0.0" left="0.7" right="0.7" top="0.75"/>
  <pageSetup orientation="portrait"/>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E598"/>
    <pageSetUpPr/>
  </sheetPr>
  <sheetViews>
    <sheetView showGridLines="0" workbookViewId="0"/>
  </sheetViews>
  <sheetFormatPr customHeight="1" defaultColWidth="12.63" defaultRowHeight="15.0"/>
  <cols>
    <col customWidth="1" min="1" max="1" width="2.88"/>
    <col customWidth="1" min="2" max="2" width="10.63"/>
    <col customWidth="1" min="3" max="3" width="48.63"/>
    <col customWidth="1" min="4" max="4" width="19.13"/>
    <col customWidth="1" min="5" max="5" width="53.88"/>
    <col customWidth="1" min="6" max="6" width="10.63"/>
  </cols>
  <sheetData>
    <row r="2" ht="15.0" customHeight="1">
      <c r="C2" s="367" t="s">
        <v>379</v>
      </c>
      <c r="D2" s="367"/>
      <c r="E2" s="367"/>
    </row>
    <row r="3" ht="13.5" customHeight="1"/>
    <row r="4" ht="13.5" customHeight="1">
      <c r="C4" s="369" t="s">
        <v>537</v>
      </c>
      <c r="D4" s="370"/>
      <c r="E4" s="370"/>
    </row>
    <row r="5" ht="13.5" customHeight="1">
      <c r="C5" s="371"/>
      <c r="D5" s="371"/>
      <c r="E5" s="371" t="s">
        <v>338</v>
      </c>
    </row>
    <row r="6" ht="13.5" customHeight="1">
      <c r="C6" s="35" t="s">
        <v>381</v>
      </c>
      <c r="D6" s="380">
        <f>noi_three_rto</f>
        <v>208224.1843</v>
      </c>
    </row>
    <row r="7" ht="13.5" customHeight="1">
      <c r="C7" s="35" t="s">
        <v>382</v>
      </c>
      <c r="D7" s="377">
        <v>1.175</v>
      </c>
      <c r="E7" s="35" t="s">
        <v>595</v>
      </c>
    </row>
    <row r="8" ht="13.5" customHeight="1">
      <c r="C8" s="35" t="s">
        <v>384</v>
      </c>
      <c r="D8" s="380">
        <f>D6/D7</f>
        <v>177212.0717</v>
      </c>
    </row>
    <row r="9" ht="13.5" customHeight="1"/>
    <row r="10" ht="13.5" customHeight="1">
      <c r="C10" s="35" t="s">
        <v>385</v>
      </c>
      <c r="D10" s="377">
        <v>35.0</v>
      </c>
      <c r="E10" s="35" t="s">
        <v>596</v>
      </c>
    </row>
    <row r="11" ht="13.5" customHeight="1">
      <c r="C11" s="35" t="s">
        <v>387</v>
      </c>
      <c r="D11" s="379">
        <v>0.0625</v>
      </c>
      <c r="E11" s="35" t="s">
        <v>353</v>
      </c>
    </row>
    <row r="12" ht="13.5" customHeight="1">
      <c r="C12" s="371" t="s">
        <v>598</v>
      </c>
      <c r="D12" s="381">
        <f>PV(D11/12,D10*12,-D8/12)</f>
        <v>2515459.765</v>
      </c>
      <c r="E12" s="371"/>
    </row>
    <row r="13" ht="13.5" customHeight="1">
      <c r="C13" s="35" t="s">
        <v>599</v>
      </c>
      <c r="D13" s="397">
        <v>1.0E7</v>
      </c>
      <c r="E13" s="35" t="s">
        <v>596</v>
      </c>
    </row>
    <row r="14" ht="13.5" customHeight="1">
      <c r="C14" s="375" t="s">
        <v>388</v>
      </c>
      <c r="D14" s="376">
        <f>MIN(D12,D13)</f>
        <v>2515459.765</v>
      </c>
    </row>
    <row r="15" ht="13.5" customHeight="1"/>
    <row r="16" ht="13.5" customHeight="1"/>
    <row r="17" ht="13.5" customHeight="1"/>
    <row r="18" ht="13.5" customHeight="1">
      <c r="C18" s="367" t="s">
        <v>336</v>
      </c>
      <c r="D18" s="367"/>
      <c r="E18" s="367"/>
    </row>
    <row r="19" ht="13.5" customHeight="1"/>
    <row r="20" ht="13.5" customHeight="1">
      <c r="C20" s="369" t="s">
        <v>600</v>
      </c>
      <c r="D20" s="370"/>
      <c r="E20" s="370"/>
    </row>
    <row r="21" ht="13.5" customHeight="1">
      <c r="C21" s="371"/>
      <c r="D21" s="371"/>
      <c r="E21" s="371" t="s">
        <v>338</v>
      </c>
    </row>
    <row r="22" ht="13.5" customHeight="1">
      <c r="C22" s="35" t="s">
        <v>358</v>
      </c>
      <c r="D22" s="380">
        <f>'Sources &amp; Uses (P3RTO)'!C54+'Sources &amp; Uses (P3RTO)'!C64+'Sources &amp; Uses (P3RTO)'!E54+'Sources &amp; Uses (P3RTO)'!E64</f>
        <v>8605093.02</v>
      </c>
      <c r="E22" s="35" t="s">
        <v>359</v>
      </c>
    </row>
    <row r="23" ht="13.5" customHeight="1">
      <c r="C23" s="35" t="s">
        <v>360</v>
      </c>
      <c r="D23" s="378">
        <v>0.9</v>
      </c>
      <c r="E23" s="35" t="s">
        <v>361</v>
      </c>
    </row>
    <row r="24" ht="13.5" customHeight="1">
      <c r="C24" s="371" t="s">
        <v>362</v>
      </c>
      <c r="D24" s="381">
        <f>D23*D22</f>
        <v>7744583.718</v>
      </c>
      <c r="E24" s="371"/>
    </row>
    <row r="25" ht="13.5" customHeight="1">
      <c r="C25" s="375" t="s">
        <v>367</v>
      </c>
      <c r="D25" s="376">
        <f>D24</f>
        <v>7744583.718</v>
      </c>
    </row>
    <row r="26" ht="13.5" customHeight="1"/>
    <row r="27" ht="13.5" customHeight="1">
      <c r="C27" s="35" t="s">
        <v>344</v>
      </c>
      <c r="D27" s="377">
        <f>AVERAGE('Development Comps'!C8:F8)</f>
        <v>14.5</v>
      </c>
      <c r="E27" s="35" t="s">
        <v>345</v>
      </c>
    </row>
    <row r="28" ht="13.5" customHeight="1">
      <c r="C28" s="35" t="s">
        <v>346</v>
      </c>
      <c r="D28" s="378">
        <v>0.3</v>
      </c>
      <c r="E28" s="35" t="s">
        <v>347</v>
      </c>
    </row>
    <row r="29" ht="13.5" customHeight="1">
      <c r="C29" s="35" t="s">
        <v>601</v>
      </c>
      <c r="D29" s="450">
        <f>unit_three_rto/'Development Comps'!G27</f>
        <v>4</v>
      </c>
      <c r="E29" s="35" t="s">
        <v>602</v>
      </c>
    </row>
    <row r="30" ht="13.5" customHeight="1">
      <c r="C30" s="35" t="s">
        <v>350</v>
      </c>
      <c r="D30" s="35">
        <f>ROUNDDOWN(D27*(1-D28)+D29,0)</f>
        <v>14</v>
      </c>
    </row>
    <row r="31" ht="13.5" customHeight="1">
      <c r="C31" s="35" t="s">
        <v>351</v>
      </c>
      <c r="D31" s="378">
        <v>0.45</v>
      </c>
    </row>
    <row r="32" ht="13.5" customHeight="1">
      <c r="C32" s="35" t="s">
        <v>352</v>
      </c>
      <c r="D32" s="379">
        <v>0.0843</v>
      </c>
      <c r="E32" s="35" t="s">
        <v>353</v>
      </c>
    </row>
    <row r="33" ht="13.5" customHeight="1">
      <c r="C33" s="35" t="s">
        <v>354</v>
      </c>
      <c r="D33" s="380">
        <f>D25*D31*(D32/12)*D27</f>
        <v>354997.1965</v>
      </c>
    </row>
    <row r="34" ht="13.5" customHeight="1">
      <c r="C34" s="371" t="s">
        <v>355</v>
      </c>
      <c r="D34" s="381">
        <f>D25*(D32/12)*D29</f>
        <v>217622.8025</v>
      </c>
      <c r="E34" s="371"/>
    </row>
    <row r="35" ht="13.5" customHeight="1">
      <c r="C35" s="375" t="s">
        <v>603</v>
      </c>
      <c r="D35" s="376">
        <f>SUM(D33:D34)</f>
        <v>572619.999</v>
      </c>
    </row>
    <row r="36" ht="13.5" customHeight="1"/>
    <row r="37" ht="13.5" customHeight="1"/>
    <row r="38" ht="13.5" customHeight="1"/>
    <row r="39" ht="13.5" customHeight="1">
      <c r="C39" s="369" t="s">
        <v>369</v>
      </c>
      <c r="D39" s="370"/>
      <c r="E39" s="370"/>
    </row>
    <row r="40" ht="13.5" customHeight="1">
      <c r="C40" s="35"/>
    </row>
    <row r="41" ht="13.5" customHeight="1">
      <c r="C41" s="371"/>
      <c r="D41" s="371"/>
      <c r="E41" s="371" t="s">
        <v>338</v>
      </c>
    </row>
    <row r="42" ht="13.5" customHeight="1">
      <c r="C42" s="35" t="s">
        <v>106</v>
      </c>
      <c r="D42" s="380">
        <f>'Sources &amp; Uses (P3RTO)'!C58</f>
        <v>86287.12525</v>
      </c>
    </row>
    <row r="43" ht="13.5" customHeight="1">
      <c r="C43" s="35" t="s">
        <v>117</v>
      </c>
      <c r="D43" s="380">
        <f>'Sources &amp; Uses (P3RTO)'!C72</f>
        <v>75000</v>
      </c>
    </row>
    <row r="44" ht="13.5" customHeight="1">
      <c r="C44" s="371" t="s">
        <v>370</v>
      </c>
      <c r="D44" s="381">
        <f>SUM('Sources &amp; Uses (P3RTO)'!C94:C97)</f>
        <v>39200</v>
      </c>
      <c r="E44" s="371"/>
    </row>
    <row r="45" ht="13.5" customHeight="1">
      <c r="C45" s="375" t="s">
        <v>371</v>
      </c>
      <c r="D45" s="376">
        <f>SUM(D42:D44)</f>
        <v>200487.1253</v>
      </c>
    </row>
    <row r="46" ht="13.5" customHeight="1"/>
    <row r="47" ht="13.5" customHeight="1">
      <c r="C47" s="375" t="s">
        <v>372</v>
      </c>
      <c r="D47" s="376">
        <f>D45</f>
        <v>200487.1253</v>
      </c>
    </row>
    <row r="48" ht="13.5" customHeight="1">
      <c r="C48" s="35" t="s">
        <v>373</v>
      </c>
      <c r="D48" s="377">
        <v>12.0</v>
      </c>
      <c r="E48" s="35" t="s">
        <v>604</v>
      </c>
    </row>
    <row r="49" ht="13.5" customHeight="1">
      <c r="C49" s="35" t="s">
        <v>375</v>
      </c>
      <c r="D49" s="378">
        <v>0.05</v>
      </c>
      <c r="E49" s="35" t="s">
        <v>604</v>
      </c>
    </row>
    <row r="50" ht="13.5" customHeight="1">
      <c r="C50" s="375" t="s">
        <v>376</v>
      </c>
      <c r="D50" s="376">
        <f>D47*D49/12*D48</f>
        <v>10024.35626</v>
      </c>
    </row>
    <row r="51" ht="13.5" customHeight="1"/>
    <row r="52" ht="13.5" customHeight="1">
      <c r="C52" s="35" t="s">
        <v>377</v>
      </c>
      <c r="D52" s="378">
        <v>0.01</v>
      </c>
      <c r="E52" s="35" t="s">
        <v>604</v>
      </c>
    </row>
    <row r="53" ht="13.5" customHeight="1">
      <c r="C53" s="375" t="s">
        <v>378</v>
      </c>
      <c r="D53" s="376">
        <f>D52*D47</f>
        <v>2004.871253</v>
      </c>
    </row>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E598"/>
    <pageSetUpPr/>
  </sheetPr>
  <sheetViews>
    <sheetView showGridLines="0" workbookViewId="0">
      <pane ySplit="3.0" topLeftCell="A4" activePane="bottomLeft" state="frozen"/>
      <selection activeCell="B5" sqref="B5" pane="bottomLeft"/>
    </sheetView>
  </sheetViews>
  <sheetFormatPr customHeight="1" defaultColWidth="12.63" defaultRowHeight="15.0"/>
  <cols>
    <col customWidth="1" min="1" max="2" width="2.63"/>
    <col customWidth="1" min="3" max="3" width="64.63"/>
    <col customWidth="1" min="4" max="4" width="14.38"/>
    <col customWidth="1" min="5" max="5" width="77.88"/>
    <col customWidth="1" min="6" max="7" width="7.63"/>
    <col customWidth="1" min="8" max="8" width="12.13"/>
    <col customWidth="1" min="9" max="9" width="7.63"/>
  </cols>
  <sheetData>
    <row r="1">
      <c r="C1" s="36" t="s">
        <v>301</v>
      </c>
      <c r="D1" s="37"/>
      <c r="E1" s="37"/>
    </row>
    <row r="2" ht="15.0" customHeight="1">
      <c r="C2" s="35"/>
      <c r="G2" s="39" t="s">
        <v>44</v>
      </c>
      <c r="H2" s="39"/>
    </row>
    <row r="3" ht="15.0" customHeight="1">
      <c r="B3" s="375" t="s">
        <v>398</v>
      </c>
      <c r="C3" s="375"/>
      <c r="D3" s="391" t="s">
        <v>399</v>
      </c>
      <c r="E3" s="375" t="s">
        <v>400</v>
      </c>
    </row>
    <row r="4" ht="15.0" customHeight="1">
      <c r="B4" s="369" t="s">
        <v>401</v>
      </c>
      <c r="C4" s="369"/>
      <c r="D4" s="370"/>
      <c r="E4" s="370"/>
    </row>
    <row r="5" ht="15.0" customHeight="1">
      <c r="B5" s="392"/>
      <c r="C5" s="393" t="s">
        <v>402</v>
      </c>
      <c r="D5" s="392"/>
      <c r="E5" s="392"/>
    </row>
    <row r="6" ht="15.0" customHeight="1">
      <c r="B6" s="371"/>
      <c r="C6" s="371" t="s">
        <v>605</v>
      </c>
      <c r="D6" s="371"/>
      <c r="E6" s="371"/>
    </row>
    <row r="7" ht="15.0" customHeight="1">
      <c r="C7" s="394" t="s">
        <v>606</v>
      </c>
      <c r="D7" s="377">
        <v>1657.0</v>
      </c>
      <c r="E7" s="35" t="s">
        <v>607</v>
      </c>
    </row>
    <row r="8" ht="15.0" customHeight="1">
      <c r="C8" s="394" t="s">
        <v>420</v>
      </c>
      <c r="D8" s="377">
        <v>1775.0</v>
      </c>
      <c r="E8" s="35" t="s">
        <v>607</v>
      </c>
    </row>
    <row r="9" ht="15.0" customHeight="1">
      <c r="C9" s="394" t="s">
        <v>422</v>
      </c>
      <c r="D9" s="377">
        <v>2130.0</v>
      </c>
      <c r="E9" s="35" t="s">
        <v>607</v>
      </c>
    </row>
    <row r="10" ht="15.0" customHeight="1">
      <c r="C10" s="394" t="s">
        <v>579</v>
      </c>
      <c r="D10" s="377">
        <v>2461.0</v>
      </c>
      <c r="E10" s="35" t="s">
        <v>607</v>
      </c>
    </row>
    <row r="11" ht="15.0" customHeight="1">
      <c r="C11" s="394"/>
      <c r="E11" s="35"/>
    </row>
    <row r="12" ht="15.0" customHeight="1">
      <c r="B12" s="371"/>
      <c r="C12" s="371" t="s">
        <v>608</v>
      </c>
      <c r="D12" s="371"/>
      <c r="E12" s="371"/>
    </row>
    <row r="13" ht="15.0" customHeight="1">
      <c r="C13" s="451">
        <v>0.3</v>
      </c>
      <c r="D13" s="383">
        <f t="shared" ref="D13:D16" si="1">C13/$C$15</f>
        <v>0.375</v>
      </c>
      <c r="E13" s="35"/>
    </row>
    <row r="14" ht="15.0" customHeight="1">
      <c r="C14" s="451">
        <v>0.5</v>
      </c>
      <c r="D14" s="383">
        <f t="shared" si="1"/>
        <v>0.625</v>
      </c>
      <c r="E14" s="35"/>
      <c r="I14" s="58"/>
    </row>
    <row r="15" ht="15.0" customHeight="1">
      <c r="C15" s="451">
        <v>0.8</v>
      </c>
      <c r="D15" s="383">
        <f t="shared" si="1"/>
        <v>1</v>
      </c>
      <c r="E15" s="35"/>
    </row>
    <row r="16" ht="15.0" customHeight="1">
      <c r="C16" s="451">
        <v>1.0</v>
      </c>
      <c r="D16" s="383">
        <f t="shared" si="1"/>
        <v>1.25</v>
      </c>
      <c r="E16" s="35"/>
    </row>
    <row r="17" ht="15.0" customHeight="1">
      <c r="C17" s="394"/>
      <c r="E17" s="35"/>
    </row>
    <row r="18" ht="15.0" customHeight="1">
      <c r="B18" s="371"/>
      <c r="C18" s="395" t="s">
        <v>609</v>
      </c>
      <c r="D18" s="371"/>
      <c r="E18" s="371"/>
    </row>
    <row r="19" ht="15.0" customHeight="1">
      <c r="C19" s="394" t="s">
        <v>606</v>
      </c>
      <c r="D19" s="377">
        <f>ROUND(1195*1.1,0)</f>
        <v>1315</v>
      </c>
      <c r="E19" s="35" t="s">
        <v>646</v>
      </c>
    </row>
    <row r="20" ht="15.0" customHeight="1">
      <c r="C20" s="394" t="s">
        <v>420</v>
      </c>
      <c r="D20" s="377">
        <f>ROUND(1250*1.1,0)</f>
        <v>1375</v>
      </c>
      <c r="E20" s="35" t="s">
        <v>646</v>
      </c>
    </row>
    <row r="21" ht="15.0" customHeight="1">
      <c r="C21" s="394" t="s">
        <v>422</v>
      </c>
      <c r="D21" s="377">
        <f>ROUND(1500*1.1,0)</f>
        <v>1650</v>
      </c>
      <c r="E21" s="35" t="s">
        <v>646</v>
      </c>
    </row>
    <row r="22" ht="15.0" customHeight="1">
      <c r="C22" s="394" t="s">
        <v>579</v>
      </c>
      <c r="D22" s="377">
        <f>ROUND(1850*1.1,0)</f>
        <v>2035</v>
      </c>
      <c r="E22" s="35" t="s">
        <v>646</v>
      </c>
    </row>
    <row r="23" ht="15.0" customHeight="1">
      <c r="C23" s="394"/>
      <c r="D23" s="35"/>
      <c r="E23" s="35"/>
    </row>
    <row r="24" ht="15.0" customHeight="1">
      <c r="B24" s="371"/>
      <c r="C24" s="395" t="s">
        <v>647</v>
      </c>
      <c r="D24" s="371"/>
      <c r="E24" s="371"/>
    </row>
    <row r="25" ht="15.0" customHeight="1">
      <c r="B25" s="35"/>
      <c r="C25" s="394" t="s">
        <v>606</v>
      </c>
      <c r="D25" s="377">
        <v>1107.0</v>
      </c>
      <c r="E25" s="35" t="s">
        <v>648</v>
      </c>
    </row>
    <row r="26" ht="15.0" customHeight="1">
      <c r="C26" s="394" t="s">
        <v>420</v>
      </c>
      <c r="D26" s="377">
        <v>1301.0</v>
      </c>
      <c r="E26" s="35" t="s">
        <v>648</v>
      </c>
    </row>
    <row r="27" ht="15.0" customHeight="1">
      <c r="C27" s="394" t="s">
        <v>422</v>
      </c>
      <c r="D27" s="377">
        <v>1515.0</v>
      </c>
      <c r="E27" s="35" t="s">
        <v>648</v>
      </c>
    </row>
    <row r="28" ht="15.0" customHeight="1">
      <c r="C28" s="394" t="s">
        <v>579</v>
      </c>
      <c r="D28" s="377">
        <v>1991.0</v>
      </c>
      <c r="E28" s="35" t="s">
        <v>648</v>
      </c>
    </row>
    <row r="29" ht="15.0" customHeight="1">
      <c r="C29" s="394"/>
      <c r="D29" s="35"/>
      <c r="E29" s="35"/>
    </row>
    <row r="30" ht="15.0" customHeight="1">
      <c r="B30" s="371"/>
      <c r="C30" s="395" t="s">
        <v>408</v>
      </c>
      <c r="D30" s="371"/>
      <c r="E30" s="371"/>
    </row>
    <row r="31" ht="15.0" customHeight="1">
      <c r="B31" s="35"/>
      <c r="C31" s="394" t="s">
        <v>610</v>
      </c>
      <c r="D31" s="377">
        <v>496.0</v>
      </c>
      <c r="E31" s="35" t="s">
        <v>485</v>
      </c>
    </row>
    <row r="32" ht="15.0" customHeight="1">
      <c r="C32" s="394" t="s">
        <v>409</v>
      </c>
      <c r="D32" s="377">
        <v>650.0</v>
      </c>
      <c r="E32" s="35" t="s">
        <v>485</v>
      </c>
    </row>
    <row r="33" ht="15.0" customHeight="1">
      <c r="C33" s="394" t="s">
        <v>410</v>
      </c>
      <c r="D33" s="377">
        <v>960.0</v>
      </c>
      <c r="E33" s="35" t="s">
        <v>485</v>
      </c>
    </row>
    <row r="34" ht="15.0" customHeight="1">
      <c r="C34" s="394" t="s">
        <v>611</v>
      </c>
      <c r="D34" s="377">
        <v>960.0</v>
      </c>
      <c r="E34" s="35" t="s">
        <v>485</v>
      </c>
    </row>
    <row r="35" ht="15.75" customHeight="1"/>
    <row r="36" ht="15.0" customHeight="1">
      <c r="B36" s="371"/>
      <c r="C36" s="371" t="s">
        <v>419</v>
      </c>
      <c r="D36" s="371"/>
      <c r="E36" s="371"/>
    </row>
    <row r="37" ht="15.0" customHeight="1">
      <c r="B37" s="35"/>
      <c r="C37" s="35" t="s">
        <v>606</v>
      </c>
      <c r="D37" s="397">
        <f t="array" ref="D37:D40">TRANSPOSE('DCHA Utility Allowances'!C40:F40)</f>
        <v>65</v>
      </c>
      <c r="E37" s="35" t="s">
        <v>421</v>
      </c>
    </row>
    <row r="38" ht="15.0" customHeight="1">
      <c r="C38" s="394" t="s">
        <v>420</v>
      </c>
      <c r="D38" s="397">
        <v>74.0</v>
      </c>
      <c r="E38" s="35" t="s">
        <v>421</v>
      </c>
    </row>
    <row r="39" ht="15.0" customHeight="1">
      <c r="C39" s="394" t="s">
        <v>422</v>
      </c>
      <c r="D39" s="397">
        <v>93.0</v>
      </c>
      <c r="E39" s="35" t="s">
        <v>421</v>
      </c>
    </row>
    <row r="40" ht="15.0" customHeight="1">
      <c r="C40" s="394" t="s">
        <v>579</v>
      </c>
      <c r="D40" s="397">
        <v>113.0</v>
      </c>
      <c r="E40" s="35" t="s">
        <v>421</v>
      </c>
    </row>
    <row r="41" ht="15.0" customHeight="1">
      <c r="C41" s="394"/>
      <c r="D41" s="380"/>
      <c r="E41" s="35"/>
    </row>
    <row r="42" ht="15.0" customHeight="1">
      <c r="B42" s="371"/>
      <c r="C42" s="395" t="s">
        <v>423</v>
      </c>
      <c r="D42" s="381"/>
      <c r="E42" s="371"/>
    </row>
    <row r="43" ht="15.0" customHeight="1">
      <c r="C43" s="394" t="s">
        <v>424</v>
      </c>
      <c r="D43" s="378">
        <v>0.07</v>
      </c>
      <c r="E43" s="35" t="s">
        <v>425</v>
      </c>
    </row>
    <row r="44" ht="15.0" customHeight="1">
      <c r="C44" s="394"/>
      <c r="D44" s="380"/>
    </row>
    <row r="45" ht="15.0" customHeight="1">
      <c r="B45" s="392"/>
      <c r="C45" s="398" t="s">
        <v>321</v>
      </c>
      <c r="D45" s="399"/>
      <c r="E45" s="392"/>
    </row>
    <row r="46" ht="15.0" customHeight="1">
      <c r="C46" s="394" t="s">
        <v>426</v>
      </c>
      <c r="D46" s="397">
        <v>5.0</v>
      </c>
    </row>
    <row r="47" ht="15.0" customHeight="1">
      <c r="C47" s="394"/>
      <c r="D47" s="380"/>
    </row>
    <row r="48" ht="15.75" customHeight="1"/>
    <row r="49" ht="15.0" customHeight="1">
      <c r="B49" s="392"/>
      <c r="C49" s="393" t="s">
        <v>182</v>
      </c>
      <c r="D49" s="392"/>
      <c r="E49" s="392"/>
    </row>
    <row r="50" ht="15.75" customHeight="1">
      <c r="B50" s="371"/>
      <c r="C50" s="371" t="s">
        <v>259</v>
      </c>
      <c r="D50" s="371"/>
      <c r="E50" s="371"/>
    </row>
    <row r="51" ht="15.75" customHeight="1">
      <c r="C51" s="394" t="s">
        <v>429</v>
      </c>
      <c r="D51" s="378">
        <v>0.05</v>
      </c>
      <c r="E51" s="35" t="s">
        <v>430</v>
      </c>
    </row>
    <row r="52" ht="15.75" customHeight="1">
      <c r="C52" s="35" t="s">
        <v>264</v>
      </c>
      <c r="D52" s="397">
        <v>80000.0</v>
      </c>
      <c r="E52" s="35" t="s">
        <v>431</v>
      </c>
    </row>
    <row r="53" ht="15.75" customHeight="1">
      <c r="C53" s="35" t="s">
        <v>265</v>
      </c>
      <c r="D53" s="397">
        <v>10000.0</v>
      </c>
      <c r="E53" s="35" t="s">
        <v>430</v>
      </c>
    </row>
    <row r="54" ht="15.75" customHeight="1">
      <c r="C54" s="35" t="s">
        <v>266</v>
      </c>
      <c r="D54" s="397">
        <v>10000.0</v>
      </c>
      <c r="E54" s="35" t="s">
        <v>430</v>
      </c>
    </row>
    <row r="55" ht="15.75" customHeight="1">
      <c r="C55" s="35" t="s">
        <v>267</v>
      </c>
      <c r="D55" s="397">
        <v>5000.0</v>
      </c>
      <c r="E55" s="35" t="s">
        <v>430</v>
      </c>
    </row>
    <row r="56" ht="15.75" customHeight="1">
      <c r="C56" s="35" t="s">
        <v>432</v>
      </c>
      <c r="D56" s="397">
        <f>'OpEx Comps'!N12</f>
        <v>150.8064516</v>
      </c>
      <c r="E56" s="35" t="s">
        <v>430</v>
      </c>
    </row>
    <row r="57" ht="15.75" customHeight="1"/>
    <row r="58" ht="15.75" customHeight="1">
      <c r="B58" s="371"/>
      <c r="C58" s="371" t="s">
        <v>270</v>
      </c>
      <c r="D58" s="371"/>
      <c r="E58" s="371"/>
    </row>
    <row r="59" ht="15.75" customHeight="1">
      <c r="C59" s="394" t="s">
        <v>433</v>
      </c>
      <c r="D59" s="397">
        <v>300.0</v>
      </c>
      <c r="E59" s="35" t="s">
        <v>649</v>
      </c>
    </row>
    <row r="60" ht="15.75" customHeight="1">
      <c r="C60" s="394" t="s">
        <v>434</v>
      </c>
      <c r="D60" s="378">
        <v>0.4</v>
      </c>
      <c r="E60" s="35" t="s">
        <v>347</v>
      </c>
    </row>
    <row r="61" ht="15.75" customHeight="1">
      <c r="C61" s="394" t="s">
        <v>435</v>
      </c>
      <c r="D61" s="397">
        <v>400.0</v>
      </c>
      <c r="E61" s="35" t="s">
        <v>650</v>
      </c>
    </row>
    <row r="62" ht="15.75" customHeight="1">
      <c r="C62" s="394" t="s">
        <v>436</v>
      </c>
      <c r="D62" s="378">
        <v>0.8</v>
      </c>
      <c r="E62" s="35" t="s">
        <v>347</v>
      </c>
    </row>
    <row r="63" ht="15.75" customHeight="1">
      <c r="C63" s="35" t="s">
        <v>437</v>
      </c>
      <c r="D63" s="397">
        <v>0.0</v>
      </c>
      <c r="E63" s="35" t="s">
        <v>438</v>
      </c>
    </row>
    <row r="64" ht="15.75" customHeight="1"/>
    <row r="65" ht="15.75" customHeight="1">
      <c r="B65" s="371"/>
      <c r="C65" s="371" t="s">
        <v>275</v>
      </c>
      <c r="D65" s="371"/>
      <c r="E65" s="371"/>
    </row>
    <row r="66" ht="15.75" customHeight="1">
      <c r="C66" s="35" t="s">
        <v>439</v>
      </c>
      <c r="D66" s="397">
        <v>70000.0</v>
      </c>
      <c r="E66" s="35" t="s">
        <v>612</v>
      </c>
    </row>
    <row r="67" ht="15.75" customHeight="1">
      <c r="C67" s="35" t="s">
        <v>441</v>
      </c>
      <c r="D67" s="397">
        <v>60.0</v>
      </c>
      <c r="E67" s="35" t="s">
        <v>430</v>
      </c>
    </row>
    <row r="68" ht="15.75" customHeight="1">
      <c r="C68" s="35" t="s">
        <v>442</v>
      </c>
      <c r="D68" s="397">
        <v>30.0</v>
      </c>
      <c r="E68" s="35" t="s">
        <v>430</v>
      </c>
    </row>
    <row r="69" ht="15.75" customHeight="1">
      <c r="C69" s="35" t="s">
        <v>443</v>
      </c>
      <c r="D69" s="397">
        <v>300.0</v>
      </c>
      <c r="E69" s="35" t="s">
        <v>430</v>
      </c>
    </row>
    <row r="70" ht="15.75" customHeight="1">
      <c r="C70" s="35" t="s">
        <v>444</v>
      </c>
      <c r="D70" s="397">
        <v>30.0</v>
      </c>
      <c r="E70" s="35" t="s">
        <v>430</v>
      </c>
    </row>
    <row r="71" ht="15.75" customHeight="1">
      <c r="C71" s="35" t="s">
        <v>445</v>
      </c>
      <c r="D71" s="397">
        <v>60.0</v>
      </c>
      <c r="E71" s="35" t="s">
        <v>430</v>
      </c>
    </row>
    <row r="72" ht="15.75" customHeight="1">
      <c r="C72" s="35" t="s">
        <v>446</v>
      </c>
      <c r="D72" s="397">
        <v>60.0</v>
      </c>
      <c r="E72" s="35" t="s">
        <v>430</v>
      </c>
    </row>
    <row r="73" ht="15.75" customHeight="1">
      <c r="C73" s="35" t="s">
        <v>447</v>
      </c>
      <c r="D73" s="397">
        <v>30.0</v>
      </c>
      <c r="E73" s="35" t="s">
        <v>430</v>
      </c>
    </row>
    <row r="74" ht="15.75" customHeight="1">
      <c r="C74" s="35" t="s">
        <v>448</v>
      </c>
      <c r="D74" s="397">
        <v>25.0</v>
      </c>
      <c r="E74" s="35" t="s">
        <v>449</v>
      </c>
    </row>
    <row r="75" ht="15.75" customHeight="1"/>
    <row r="76" ht="15.75" customHeight="1">
      <c r="B76" s="371"/>
      <c r="C76" s="371" t="s">
        <v>286</v>
      </c>
      <c r="D76" s="371"/>
      <c r="E76" s="371"/>
    </row>
    <row r="77" ht="15.75" customHeight="1">
      <c r="B77" s="35"/>
      <c r="C77" s="35" t="s">
        <v>613</v>
      </c>
      <c r="D77" s="389">
        <v>0.061</v>
      </c>
      <c r="E77" s="35" t="s">
        <v>614</v>
      </c>
    </row>
    <row r="78" ht="15.75" customHeight="1">
      <c r="B78" s="35"/>
      <c r="C78" s="35" t="s">
        <v>381</v>
      </c>
      <c r="D78" s="397">
        <f>noi_three_rto</f>
        <v>208224.1843</v>
      </c>
      <c r="E78" s="35"/>
    </row>
    <row r="79" ht="15.75" customHeight="1">
      <c r="B79" s="35"/>
      <c r="C79" s="35" t="s">
        <v>452</v>
      </c>
      <c r="D79" s="380">
        <f>D78/D77</f>
        <v>3413511.218</v>
      </c>
      <c r="E79" s="35"/>
      <c r="H79" s="372"/>
      <c r="K79" s="372"/>
    </row>
    <row r="80" ht="15.75" customHeight="1">
      <c r="B80" s="35"/>
      <c r="C80" s="35" t="s">
        <v>453</v>
      </c>
      <c r="D80" s="400">
        <v>0.018278463</v>
      </c>
      <c r="E80" s="35" t="s">
        <v>454</v>
      </c>
    </row>
    <row r="81" ht="15.75" customHeight="1">
      <c r="B81" s="35"/>
      <c r="C81" s="35" t="s">
        <v>651</v>
      </c>
      <c r="D81" s="380">
        <f>D80*D79</f>
        <v>62393.73849</v>
      </c>
      <c r="E81" s="35"/>
    </row>
    <row r="82" ht="15.75" customHeight="1">
      <c r="C82" s="35" t="s">
        <v>652</v>
      </c>
      <c r="D82" s="397">
        <v>171157.0</v>
      </c>
      <c r="E82" s="35" t="s">
        <v>456</v>
      </c>
    </row>
    <row r="83" ht="15.75" customHeight="1">
      <c r="C83" s="35" t="s">
        <v>56</v>
      </c>
      <c r="D83" s="397">
        <v>0.0</v>
      </c>
    </row>
    <row r="84" ht="15.75" customHeight="1"/>
    <row r="85" ht="15.75" customHeight="1">
      <c r="B85" s="371"/>
      <c r="C85" s="371" t="s">
        <v>290</v>
      </c>
      <c r="D85" s="371"/>
      <c r="E85" s="371"/>
    </row>
    <row r="86" ht="15.75" customHeight="1">
      <c r="C86" s="394" t="s">
        <v>457</v>
      </c>
      <c r="D86" s="397">
        <f>'OpEx Comps'!N16</f>
        <v>196.9602978</v>
      </c>
      <c r="E86" s="35" t="s">
        <v>430</v>
      </c>
    </row>
    <row r="87" ht="15.75" customHeight="1">
      <c r="C87" s="35" t="s">
        <v>458</v>
      </c>
      <c r="D87" s="397">
        <v>30.0</v>
      </c>
      <c r="E87" s="35" t="s">
        <v>459</v>
      </c>
    </row>
    <row r="88" ht="15.75" customHeight="1"/>
    <row r="89" ht="15.75" customHeight="1">
      <c r="B89" s="371"/>
      <c r="C89" s="371" t="s">
        <v>293</v>
      </c>
      <c r="D89" s="371"/>
      <c r="E89" s="371"/>
    </row>
    <row r="90" ht="15.75" customHeight="1">
      <c r="C90" s="35" t="s">
        <v>293</v>
      </c>
      <c r="D90" s="397">
        <v>10000.0</v>
      </c>
      <c r="E90" s="35" t="s">
        <v>615</v>
      </c>
    </row>
    <row r="91" ht="15.75" customHeight="1">
      <c r="C91" s="35" t="s">
        <v>463</v>
      </c>
      <c r="D91" s="397">
        <v>1000.0</v>
      </c>
      <c r="E91" s="35" t="s">
        <v>464</v>
      </c>
    </row>
    <row r="92" ht="15.75" customHeight="1"/>
    <row r="93" ht="15.75" customHeight="1">
      <c r="B93" s="371"/>
      <c r="C93" s="371" t="s">
        <v>141</v>
      </c>
      <c r="D93" s="371"/>
      <c r="E93" s="371"/>
    </row>
    <row r="94" ht="15.75" customHeight="1">
      <c r="C94" s="394" t="s">
        <v>465</v>
      </c>
      <c r="D94" s="397">
        <v>300.0</v>
      </c>
      <c r="E94" s="35" t="s">
        <v>616</v>
      </c>
    </row>
    <row r="95" ht="15.75" customHeight="1"/>
    <row r="96" ht="15.75" customHeight="1"/>
    <row r="97" ht="15.75" customHeight="1">
      <c r="B97" s="369" t="s">
        <v>467</v>
      </c>
      <c r="C97" s="370"/>
      <c r="D97" s="370"/>
      <c r="E97" s="370"/>
    </row>
    <row r="98" ht="15.75" customHeight="1">
      <c r="B98" s="392"/>
      <c r="C98" s="393" t="s">
        <v>468</v>
      </c>
      <c r="D98" s="392"/>
      <c r="E98" s="392"/>
    </row>
    <row r="99" ht="15.75" customHeight="1">
      <c r="B99" s="371"/>
      <c r="C99" s="371" t="s">
        <v>47</v>
      </c>
      <c r="D99" s="371"/>
      <c r="E99" s="371"/>
    </row>
    <row r="100" ht="15.75" customHeight="1">
      <c r="C100" s="35" t="s">
        <v>469</v>
      </c>
      <c r="D100" s="397">
        <v>0.0</v>
      </c>
      <c r="E100" s="35" t="s">
        <v>470</v>
      </c>
    </row>
    <row r="101" ht="15.75" customHeight="1">
      <c r="C101" s="35" t="s">
        <v>471</v>
      </c>
      <c r="D101" s="397">
        <v>0.0</v>
      </c>
      <c r="E101" s="35" t="s">
        <v>470</v>
      </c>
    </row>
    <row r="102" ht="15.75" customHeight="1">
      <c r="C102" s="35"/>
      <c r="D102" s="380"/>
      <c r="E102" s="35"/>
    </row>
    <row r="103" ht="15.75" customHeight="1">
      <c r="B103" s="371"/>
      <c r="C103" s="371" t="s">
        <v>49</v>
      </c>
      <c r="D103" s="381"/>
      <c r="E103" s="371"/>
    </row>
    <row r="104" ht="15.75" customHeight="1">
      <c r="B104" s="35"/>
      <c r="C104" s="35" t="s">
        <v>617</v>
      </c>
      <c r="D104" s="452">
        <f>48000*2</f>
        <v>96000</v>
      </c>
      <c r="E104" s="35" t="s">
        <v>618</v>
      </c>
    </row>
    <row r="105" ht="15.75" customHeight="1">
      <c r="B105" s="35"/>
      <c r="C105" s="35" t="s">
        <v>619</v>
      </c>
      <c r="D105" s="397">
        <v>12.0</v>
      </c>
      <c r="E105" s="35" t="s">
        <v>620</v>
      </c>
    </row>
    <row r="106" ht="15.75" customHeight="1">
      <c r="B106" s="35"/>
      <c r="C106" s="35" t="s">
        <v>621</v>
      </c>
      <c r="D106" s="378">
        <v>0.5</v>
      </c>
      <c r="E106" s="35"/>
    </row>
    <row r="107" ht="15.75" customHeight="1">
      <c r="C107" s="394" t="s">
        <v>472</v>
      </c>
      <c r="D107" s="397">
        <f>MEDIAN('Development Comps'!C25:F25)</f>
        <v>175000</v>
      </c>
      <c r="E107" s="401" t="s">
        <v>473</v>
      </c>
    </row>
    <row r="108" ht="15.75" customHeight="1">
      <c r="C108" s="394" t="s">
        <v>474</v>
      </c>
      <c r="D108" s="402">
        <f>(301.21/291.13)-1</f>
        <v>0.03462370762</v>
      </c>
      <c r="E108" s="401" t="s">
        <v>475</v>
      </c>
    </row>
    <row r="109" ht="15.75" customHeight="1">
      <c r="C109" s="394" t="s">
        <v>476</v>
      </c>
      <c r="D109" s="378">
        <v>0.0</v>
      </c>
      <c r="E109" s="401" t="s">
        <v>477</v>
      </c>
    </row>
    <row r="110" ht="15.75" customHeight="1">
      <c r="C110" s="394" t="s">
        <v>653</v>
      </c>
      <c r="D110" s="378">
        <v>0.08</v>
      </c>
      <c r="E110" s="401" t="s">
        <v>464</v>
      </c>
    </row>
    <row r="111" ht="15.75" customHeight="1">
      <c r="C111" s="394" t="s">
        <v>478</v>
      </c>
      <c r="D111" s="378">
        <v>0.05</v>
      </c>
      <c r="E111" s="35" t="s">
        <v>479</v>
      </c>
    </row>
    <row r="112" ht="15.75" customHeight="1">
      <c r="C112" s="394" t="s">
        <v>480</v>
      </c>
      <c r="D112" s="378">
        <v>0.05</v>
      </c>
      <c r="E112" s="35" t="s">
        <v>479</v>
      </c>
    </row>
    <row r="113" ht="15.75" customHeight="1">
      <c r="C113" s="394" t="s">
        <v>481</v>
      </c>
      <c r="D113" s="378">
        <v>0.02</v>
      </c>
      <c r="E113" s="35" t="s">
        <v>479</v>
      </c>
    </row>
    <row r="114" ht="15.75" customHeight="1">
      <c r="A114" s="453"/>
      <c r="B114" s="453"/>
      <c r="C114" s="394" t="s">
        <v>623</v>
      </c>
      <c r="D114" s="397">
        <v>500000.0</v>
      </c>
      <c r="E114" s="35" t="s">
        <v>624</v>
      </c>
      <c r="F114" s="453"/>
      <c r="G114" s="453"/>
      <c r="I114" s="453"/>
      <c r="J114" s="453"/>
      <c r="K114" s="453"/>
      <c r="L114" s="453"/>
      <c r="M114" s="453"/>
      <c r="N114" s="453"/>
      <c r="O114" s="453"/>
      <c r="P114" s="453"/>
      <c r="Q114" s="453"/>
      <c r="R114" s="453"/>
      <c r="S114" s="453"/>
      <c r="T114" s="453"/>
      <c r="U114" s="453"/>
      <c r="V114" s="453"/>
      <c r="W114" s="453"/>
      <c r="X114" s="453"/>
      <c r="Y114" s="453"/>
      <c r="Z114" s="453"/>
    </row>
    <row r="115" ht="15.75" customHeight="1">
      <c r="C115" s="394" t="s">
        <v>482</v>
      </c>
      <c r="D115" s="378">
        <v>0.05</v>
      </c>
    </row>
    <row r="116" ht="15.75" customHeight="1"/>
    <row r="117" ht="15.75" customHeight="1">
      <c r="B117" s="371"/>
      <c r="C117" s="395" t="s">
        <v>101</v>
      </c>
      <c r="D117" s="381"/>
      <c r="E117" s="371"/>
    </row>
    <row r="118" ht="15.75" customHeight="1">
      <c r="B118" s="35"/>
      <c r="C118" s="394" t="s">
        <v>484</v>
      </c>
      <c r="D118" s="403">
        <v>28978.0</v>
      </c>
      <c r="E118" s="35" t="s">
        <v>485</v>
      </c>
    </row>
    <row r="119" ht="15.75" customHeight="1">
      <c r="B119" s="35"/>
      <c r="C119" s="394" t="s">
        <v>486</v>
      </c>
      <c r="D119" s="404">
        <v>0.8</v>
      </c>
      <c r="E119" s="35" t="s">
        <v>487</v>
      </c>
    </row>
    <row r="120" ht="15.75" customHeight="1">
      <c r="B120" s="35"/>
      <c r="C120" s="394" t="s">
        <v>488</v>
      </c>
      <c r="D120" s="405">
        <v>15.0</v>
      </c>
      <c r="E120" s="35" t="s">
        <v>489</v>
      </c>
    </row>
    <row r="121" ht="15.75" customHeight="1">
      <c r="B121" s="35"/>
      <c r="C121" s="394" t="s">
        <v>490</v>
      </c>
      <c r="D121" s="35">
        <f>D118*D119*D120/1000</f>
        <v>347.736</v>
      </c>
      <c r="E121" s="35"/>
    </row>
    <row r="122" ht="15.75" customHeight="1">
      <c r="B122" s="35"/>
      <c r="C122" s="394" t="s">
        <v>491</v>
      </c>
      <c r="D122" s="397">
        <f>230000/135</f>
        <v>1703.703704</v>
      </c>
      <c r="E122" s="35" t="s">
        <v>492</v>
      </c>
    </row>
    <row r="123" ht="15.75" customHeight="1">
      <c r="B123" s="35"/>
      <c r="C123" s="394" t="s">
        <v>493</v>
      </c>
      <c r="D123" s="380">
        <f>D121*D122</f>
        <v>592439.1111</v>
      </c>
      <c r="E123" s="35"/>
    </row>
    <row r="124" ht="15.75" customHeight="1">
      <c r="B124" s="35"/>
      <c r="C124" s="394"/>
      <c r="D124" s="380"/>
      <c r="E124" s="35"/>
    </row>
    <row r="125" ht="15.75" customHeight="1">
      <c r="B125" s="35"/>
      <c r="C125" s="394" t="s">
        <v>625</v>
      </c>
      <c r="D125" s="382">
        <v>33000.0</v>
      </c>
      <c r="E125" s="35" t="s">
        <v>626</v>
      </c>
    </row>
    <row r="126" ht="15.75" customHeight="1">
      <c r="B126" s="35"/>
      <c r="C126" s="394" t="s">
        <v>627</v>
      </c>
      <c r="D126" s="382">
        <v>185.0</v>
      </c>
      <c r="E126" s="35" t="s">
        <v>626</v>
      </c>
    </row>
    <row r="127" ht="15.75" customHeight="1">
      <c r="B127" s="35"/>
      <c r="C127" s="394" t="s">
        <v>628</v>
      </c>
      <c r="D127" s="382">
        <v>50000.0</v>
      </c>
      <c r="E127" s="35" t="s">
        <v>626</v>
      </c>
    </row>
    <row r="128" ht="15.75" customHeight="1">
      <c r="B128" s="35"/>
      <c r="C128" s="394" t="s">
        <v>629</v>
      </c>
      <c r="D128" s="380">
        <f>MIN(D125+D126*(D121-300),D127)</f>
        <v>41831.16</v>
      </c>
      <c r="E128" s="35"/>
    </row>
    <row r="129" ht="15.75" customHeight="1"/>
    <row r="130" ht="15.75" customHeight="1">
      <c r="B130" s="371"/>
      <c r="C130" s="395" t="s">
        <v>494</v>
      </c>
      <c r="D130" s="406"/>
      <c r="E130" s="371"/>
      <c r="K130" s="401"/>
    </row>
    <row r="131" ht="15.75" customHeight="1">
      <c r="C131" s="394" t="s">
        <v>495</v>
      </c>
      <c r="D131" s="402">
        <f>'Development Comps'!M56*(2/3)</f>
        <v>0.01017853059</v>
      </c>
      <c r="E131" s="35" t="s">
        <v>630</v>
      </c>
    </row>
    <row r="132" ht="15.75" customHeight="1">
      <c r="C132" s="394" t="s">
        <v>497</v>
      </c>
      <c r="D132" s="402">
        <f>'Development Comps'!M57</f>
        <v>0.002079227248</v>
      </c>
      <c r="E132" s="35" t="s">
        <v>496</v>
      </c>
    </row>
    <row r="133" ht="15.75" customHeight="1">
      <c r="C133" s="394" t="s">
        <v>498</v>
      </c>
      <c r="D133" s="402">
        <f>'Development Comps'!M58</f>
        <v>0.002809116163</v>
      </c>
      <c r="E133" s="35" t="s">
        <v>496</v>
      </c>
    </row>
    <row r="134" ht="15.75" customHeight="1">
      <c r="C134" s="394"/>
      <c r="D134" s="407" t="s">
        <v>297</v>
      </c>
    </row>
    <row r="135" ht="15.75" customHeight="1">
      <c r="B135" s="371"/>
      <c r="C135" s="371" t="s">
        <v>499</v>
      </c>
      <c r="D135" s="371"/>
      <c r="E135" s="371"/>
    </row>
    <row r="136" ht="15.75" customHeight="1">
      <c r="C136" s="35" t="s">
        <v>500</v>
      </c>
      <c r="D136" s="379">
        <v>0.01</v>
      </c>
      <c r="E136" s="35" t="s">
        <v>501</v>
      </c>
    </row>
    <row r="137" ht="15.75" customHeight="1">
      <c r="C137" s="35" t="s">
        <v>114</v>
      </c>
      <c r="D137" s="397">
        <f>'Loan Sizing (P3RTO)'!D35</f>
        <v>572619.999</v>
      </c>
      <c r="E137" s="35" t="s">
        <v>504</v>
      </c>
    </row>
    <row r="138" ht="15.75" customHeight="1">
      <c r="C138" s="35" t="s">
        <v>505</v>
      </c>
      <c r="D138" s="379">
        <f>'Development Comps'!M62</f>
        <v>0.003326556861</v>
      </c>
      <c r="E138" s="35" t="s">
        <v>496</v>
      </c>
    </row>
    <row r="139" ht="15.75" customHeight="1">
      <c r="C139" s="35" t="s">
        <v>506</v>
      </c>
      <c r="D139" s="379">
        <v>0.0</v>
      </c>
      <c r="E139" s="35" t="s">
        <v>464</v>
      </c>
    </row>
    <row r="140" ht="15.75" customHeight="1">
      <c r="C140" s="35" t="s">
        <v>117</v>
      </c>
      <c r="D140" s="397">
        <f>'Development Comps'!C81</f>
        <v>75000</v>
      </c>
      <c r="E140" s="35" t="s">
        <v>464</v>
      </c>
    </row>
    <row r="141" ht="15.75" customHeight="1">
      <c r="C141" s="35" t="s">
        <v>118</v>
      </c>
      <c r="D141" s="397">
        <f>'Development Comps'!L65*unit_three_rto</f>
        <v>18304.90074</v>
      </c>
      <c r="E141" s="35" t="s">
        <v>507</v>
      </c>
    </row>
    <row r="142" ht="15.75" customHeight="1">
      <c r="C142" s="377" t="s">
        <v>508</v>
      </c>
      <c r="D142" s="397">
        <v>20000.0</v>
      </c>
    </row>
    <row r="143" ht="15.75" customHeight="1">
      <c r="C143" s="377" t="s">
        <v>509</v>
      </c>
      <c r="D143" s="397">
        <f>20000</f>
        <v>20000</v>
      </c>
      <c r="E143" s="35" t="s">
        <v>501</v>
      </c>
    </row>
    <row r="144" ht="15.75" customHeight="1">
      <c r="C144" s="377" t="s">
        <v>510</v>
      </c>
      <c r="D144" s="397">
        <f>500</f>
        <v>500</v>
      </c>
      <c r="E144" s="35" t="s">
        <v>501</v>
      </c>
    </row>
    <row r="145" ht="15.75" customHeight="1">
      <c r="C145" s="377" t="s">
        <v>511</v>
      </c>
      <c r="D145" s="397">
        <f>'Development Comps'!L66*unit_three_rto</f>
        <v>42507.08275</v>
      </c>
      <c r="E145" s="35" t="s">
        <v>507</v>
      </c>
    </row>
    <row r="146" ht="15.75" customHeight="1"/>
    <row r="147" ht="15.75" customHeight="1">
      <c r="B147" s="371"/>
      <c r="C147" s="371" t="s">
        <v>512</v>
      </c>
      <c r="D147" s="371"/>
      <c r="E147" s="371"/>
    </row>
    <row r="148" ht="15.75" customHeight="1">
      <c r="C148" s="35" t="s">
        <v>513</v>
      </c>
      <c r="D148" s="379">
        <v>0.015</v>
      </c>
      <c r="E148" s="35" t="s">
        <v>596</v>
      </c>
    </row>
    <row r="149" ht="15.75" customHeight="1">
      <c r="C149" s="35" t="s">
        <v>120</v>
      </c>
      <c r="D149" s="397">
        <f>MIN(55*unit_three_rto,5000)</f>
        <v>2035</v>
      </c>
      <c r="E149" s="35" t="s">
        <v>459</v>
      </c>
    </row>
    <row r="150" ht="15.75" customHeight="1">
      <c r="C150" s="35" t="s">
        <v>514</v>
      </c>
      <c r="D150" s="379">
        <v>0.05</v>
      </c>
      <c r="E150" s="35" t="s">
        <v>459</v>
      </c>
    </row>
    <row r="151" ht="15.75" customHeight="1">
      <c r="C151" s="35" t="s">
        <v>515</v>
      </c>
      <c r="D151" s="379">
        <v>0.025</v>
      </c>
      <c r="E151" s="35" t="s">
        <v>459</v>
      </c>
    </row>
    <row r="152" ht="15.75" customHeight="1">
      <c r="C152" s="35" t="s">
        <v>122</v>
      </c>
      <c r="D152" s="397">
        <v>2500.0</v>
      </c>
      <c r="E152" s="35" t="s">
        <v>459</v>
      </c>
    </row>
    <row r="153" ht="15.75" customHeight="1">
      <c r="C153" s="35" t="s">
        <v>516</v>
      </c>
      <c r="D153" s="397">
        <v>50000.0</v>
      </c>
      <c r="E153" s="35" t="s">
        <v>517</v>
      </c>
    </row>
    <row r="154" ht="15.75" customHeight="1">
      <c r="C154" s="35" t="s">
        <v>125</v>
      </c>
      <c r="D154" s="397">
        <f>'Development Comps'!K87</f>
        <v>32500</v>
      </c>
      <c r="E154" s="35" t="s">
        <v>496</v>
      </c>
    </row>
    <row r="155" ht="15.75" customHeight="1">
      <c r="C155" s="35" t="s">
        <v>126</v>
      </c>
      <c r="D155" s="397">
        <v>10000.0</v>
      </c>
      <c r="E155" s="35" t="s">
        <v>517</v>
      </c>
    </row>
    <row r="156" ht="15.75" customHeight="1">
      <c r="C156" s="35" t="s">
        <v>127</v>
      </c>
      <c r="D156" s="397">
        <v>20000.0</v>
      </c>
      <c r="E156" s="35" t="s">
        <v>517</v>
      </c>
    </row>
    <row r="157" ht="15.75" customHeight="1">
      <c r="C157" s="35" t="s">
        <v>519</v>
      </c>
      <c r="D157" s="378">
        <v>0.05</v>
      </c>
      <c r="E157" s="35" t="s">
        <v>464</v>
      </c>
    </row>
    <row r="158" ht="15.75" customHeight="1">
      <c r="C158" s="377" t="s">
        <v>520</v>
      </c>
      <c r="D158" s="397">
        <v>20000.0</v>
      </c>
      <c r="E158" s="35" t="s">
        <v>632</v>
      </c>
    </row>
    <row r="159" ht="15.75" customHeight="1">
      <c r="C159" s="377" t="s">
        <v>521</v>
      </c>
      <c r="D159" s="397">
        <v>500.0</v>
      </c>
      <c r="E159" s="35" t="s">
        <v>632</v>
      </c>
    </row>
    <row r="160" ht="15.75" customHeight="1">
      <c r="C160" s="377" t="s">
        <v>522</v>
      </c>
      <c r="D160" s="397">
        <v>600.0</v>
      </c>
      <c r="E160" s="35" t="s">
        <v>459</v>
      </c>
    </row>
    <row r="161" ht="15.75" customHeight="1"/>
    <row r="162" ht="15.75" customHeight="1">
      <c r="B162" s="371"/>
      <c r="C162" s="371" t="s">
        <v>53</v>
      </c>
      <c r="D162" s="371"/>
      <c r="E162" s="371"/>
    </row>
    <row r="163" ht="15.75" customHeight="1">
      <c r="C163" s="35" t="s">
        <v>130</v>
      </c>
      <c r="D163" s="397">
        <f>'Development Comps'!K77</f>
        <v>8750</v>
      </c>
      <c r="E163" s="35" t="s">
        <v>496</v>
      </c>
    </row>
    <row r="164" ht="15.75" customHeight="1">
      <c r="C164" s="35" t="s">
        <v>131</v>
      </c>
      <c r="D164" s="397">
        <f>'Development Comps'!K78</f>
        <v>7250</v>
      </c>
      <c r="E164" s="35" t="s">
        <v>496</v>
      </c>
    </row>
    <row r="165" ht="15.75" customHeight="1">
      <c r="C165" s="35" t="s">
        <v>132</v>
      </c>
      <c r="D165" s="397">
        <f>'Development Comps'!K79</f>
        <v>12500</v>
      </c>
      <c r="E165" s="35" t="s">
        <v>496</v>
      </c>
    </row>
    <row r="166" ht="15.75" customHeight="1">
      <c r="C166" s="35" t="s">
        <v>133</v>
      </c>
      <c r="D166" s="397">
        <f>'Development Comps'!K80</f>
        <v>10700</v>
      </c>
      <c r="E166" s="35" t="s">
        <v>496</v>
      </c>
    </row>
    <row r="167" ht="15.75" customHeight="1">
      <c r="C167" s="35" t="s">
        <v>523</v>
      </c>
      <c r="D167" s="397">
        <v>0.0</v>
      </c>
      <c r="E167" s="35" t="s">
        <v>633</v>
      </c>
    </row>
    <row r="168" ht="15.75" customHeight="1">
      <c r="C168" s="35" t="s">
        <v>135</v>
      </c>
      <c r="D168" s="397">
        <f>'Development Comps'!K91</f>
        <v>97500</v>
      </c>
      <c r="E168" s="35" t="s">
        <v>496</v>
      </c>
    </row>
    <row r="169" ht="15.75" customHeight="1">
      <c r="C169" s="35" t="s">
        <v>136</v>
      </c>
      <c r="D169" s="397">
        <f>'Development Comps'!K86</f>
        <v>37437.5</v>
      </c>
      <c r="E169" s="35" t="s">
        <v>496</v>
      </c>
    </row>
    <row r="170" ht="15.75" customHeight="1">
      <c r="C170" s="35" t="s">
        <v>634</v>
      </c>
      <c r="D170" s="397">
        <v>0.0</v>
      </c>
    </row>
    <row r="171" ht="15.75" customHeight="1">
      <c r="C171" s="394" t="s">
        <v>524</v>
      </c>
      <c r="D171" s="397">
        <v>20000.0</v>
      </c>
    </row>
    <row r="172" ht="15.75" customHeight="1">
      <c r="C172" s="394" t="s">
        <v>525</v>
      </c>
      <c r="D172" s="397">
        <v>15000.0</v>
      </c>
    </row>
    <row r="173" ht="15.75" customHeight="1">
      <c r="C173" s="394" t="s">
        <v>526</v>
      </c>
      <c r="D173" s="397">
        <v>15000.0</v>
      </c>
    </row>
    <row r="174" ht="15.75" customHeight="1"/>
    <row r="175" ht="15.75" customHeight="1">
      <c r="B175" s="371"/>
      <c r="C175" s="371" t="s">
        <v>54</v>
      </c>
      <c r="D175" s="371"/>
      <c r="E175" s="371"/>
    </row>
    <row r="176" ht="15.75" customHeight="1">
      <c r="C176" s="35" t="s">
        <v>527</v>
      </c>
      <c r="D176" s="397">
        <v>21000.0</v>
      </c>
      <c r="E176" s="35" t="s">
        <v>528</v>
      </c>
    </row>
    <row r="177" ht="15.75" customHeight="1">
      <c r="C177" s="35" t="s">
        <v>102</v>
      </c>
      <c r="D177" s="397">
        <v>0.0</v>
      </c>
    </row>
    <row r="178" ht="15.0" customHeight="1">
      <c r="D178" s="408"/>
      <c r="E178" s="380"/>
    </row>
    <row r="179" ht="15.75" customHeight="1">
      <c r="B179" s="371"/>
      <c r="C179" s="371" t="s">
        <v>55</v>
      </c>
      <c r="D179" s="371"/>
      <c r="E179" s="371"/>
    </row>
    <row r="180" ht="15.75" customHeight="1">
      <c r="C180" s="35" t="s">
        <v>529</v>
      </c>
      <c r="D180" s="377">
        <v>6.0</v>
      </c>
      <c r="E180" s="35" t="s">
        <v>479</v>
      </c>
    </row>
    <row r="181" ht="15.75" customHeight="1">
      <c r="C181" s="35" t="s">
        <v>530</v>
      </c>
      <c r="D181" s="397">
        <f>D94</f>
        <v>300</v>
      </c>
      <c r="E181" s="35" t="s">
        <v>466</v>
      </c>
    </row>
    <row r="182" ht="15.75" customHeight="1">
      <c r="C182" s="35" t="s">
        <v>531</v>
      </c>
      <c r="D182" s="377">
        <v>3.0</v>
      </c>
    </row>
    <row r="183" ht="15.75" customHeight="1">
      <c r="C183" s="35" t="s">
        <v>532</v>
      </c>
      <c r="D183" s="377">
        <v>3.0</v>
      </c>
    </row>
    <row r="184" ht="15.75" customHeight="1">
      <c r="C184" s="35" t="s">
        <v>533</v>
      </c>
      <c r="D184" s="377">
        <v>3.0</v>
      </c>
      <c r="E184" s="35"/>
    </row>
    <row r="185" ht="15.75" customHeight="1">
      <c r="C185" s="35" t="s">
        <v>534</v>
      </c>
      <c r="D185" s="397">
        <v>0.0</v>
      </c>
      <c r="E185" s="35" t="s">
        <v>636</v>
      </c>
    </row>
    <row r="186" ht="15.75" customHeight="1">
      <c r="C186" s="35" t="s">
        <v>102</v>
      </c>
      <c r="D186" s="397">
        <v>0.0</v>
      </c>
    </row>
    <row r="187" ht="15.75" customHeight="1">
      <c r="C187" s="35" t="s">
        <v>102</v>
      </c>
      <c r="D187" s="397">
        <v>0.0</v>
      </c>
    </row>
    <row r="188" ht="15.75" customHeight="1">
      <c r="C188" s="35" t="s">
        <v>102</v>
      </c>
      <c r="D188" s="397">
        <v>0.0</v>
      </c>
    </row>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E1"/>
  </mergeCells>
  <printOptions/>
  <pageMargins bottom="0.75" footer="0.0" header="0.0" left="0.7" right="0.7" top="0.75"/>
  <pageSetup orientation="portrait"/>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7.63"/>
    <col customWidth="1" min="2" max="2" width="14.0"/>
    <col customWidth="1" min="3" max="3" width="7.63"/>
    <col customWidth="1" min="4" max="4" width="20.88"/>
    <col customWidth="1" min="5" max="6" width="7.63"/>
  </cols>
  <sheetData>
    <row r="1">
      <c r="B1" s="15" t="s">
        <v>659</v>
      </c>
      <c r="D1" s="15" t="s">
        <v>660</v>
      </c>
    </row>
    <row r="2">
      <c r="B2" s="15"/>
      <c r="D2" s="15"/>
    </row>
    <row r="3">
      <c r="B3" s="13" t="s">
        <v>661</v>
      </c>
      <c r="D3" s="13" t="s">
        <v>68</v>
      </c>
    </row>
    <row r="4">
      <c r="B4" s="13" t="s">
        <v>155</v>
      </c>
      <c r="D4" s="13" t="s">
        <v>75</v>
      </c>
    </row>
    <row r="5">
      <c r="D5" s="13" t="s">
        <v>662</v>
      </c>
    </row>
    <row r="6">
      <c r="D6" s="13" t="s">
        <v>71</v>
      </c>
    </row>
    <row r="7">
      <c r="D7" s="13" t="s">
        <v>77</v>
      </c>
    </row>
    <row r="8">
      <c r="D8" s="13" t="s">
        <v>73</v>
      </c>
    </row>
    <row r="9">
      <c r="D9" s="13" t="s">
        <v>56</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61.5"/>
    <col customWidth="1" min="2" max="2" width="9.63"/>
    <col customWidth="1" min="3" max="6" width="7.63"/>
  </cols>
  <sheetData>
    <row r="1">
      <c r="A1" s="454" t="s">
        <v>663</v>
      </c>
      <c r="B1" s="13"/>
    </row>
    <row r="2" ht="15.0" customHeight="1">
      <c r="A2" s="35" t="s">
        <v>664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5"/>
    <col customWidth="1" min="2" max="2" width="28.63"/>
    <col customWidth="1" min="3" max="13" width="18.38"/>
    <col customWidth="1" min="14" max="26" width="8.88"/>
  </cols>
  <sheetData>
    <row r="1">
      <c r="A1" s="13"/>
      <c r="B1" s="13"/>
      <c r="C1" s="17"/>
      <c r="D1" s="17"/>
      <c r="E1" s="17"/>
      <c r="F1" s="17"/>
      <c r="G1" s="13"/>
      <c r="H1" s="13"/>
      <c r="I1" s="13"/>
      <c r="J1" s="13"/>
      <c r="K1" s="13"/>
      <c r="L1" s="13"/>
      <c r="M1" s="13"/>
      <c r="N1" s="13"/>
      <c r="O1" s="13"/>
      <c r="P1" s="13"/>
      <c r="Q1" s="13"/>
      <c r="R1" s="13"/>
      <c r="S1" s="13"/>
      <c r="T1" s="13"/>
      <c r="U1" s="13"/>
      <c r="V1" s="13"/>
      <c r="W1" s="13"/>
      <c r="X1" s="13"/>
      <c r="Y1" s="13"/>
      <c r="Z1" s="13"/>
    </row>
    <row r="2">
      <c r="A2" s="13"/>
      <c r="B2" s="13"/>
      <c r="C2" s="455" t="s">
        <v>665</v>
      </c>
      <c r="D2" s="455" t="s">
        <v>666</v>
      </c>
      <c r="E2" s="455" t="s">
        <v>667</v>
      </c>
      <c r="F2" s="455" t="s">
        <v>668</v>
      </c>
      <c r="G2" s="13"/>
      <c r="H2" s="13"/>
      <c r="I2" s="13"/>
      <c r="J2" s="13"/>
      <c r="K2" s="13"/>
      <c r="L2" s="13"/>
      <c r="M2" s="13"/>
      <c r="N2" s="13"/>
      <c r="O2" s="13"/>
      <c r="P2" s="13"/>
      <c r="Q2" s="13"/>
      <c r="R2" s="13"/>
      <c r="S2" s="13"/>
      <c r="T2" s="13"/>
      <c r="U2" s="13"/>
      <c r="V2" s="13"/>
      <c r="W2" s="13"/>
      <c r="X2" s="13"/>
      <c r="Y2" s="13"/>
      <c r="Z2" s="13"/>
    </row>
    <row r="3">
      <c r="A3" s="13"/>
      <c r="B3" s="13" t="s">
        <v>669</v>
      </c>
      <c r="C3" s="456" t="s">
        <v>670</v>
      </c>
      <c r="D3" s="456" t="s">
        <v>671</v>
      </c>
      <c r="E3" s="456" t="s">
        <v>670</v>
      </c>
      <c r="F3" s="456" t="s">
        <v>672</v>
      </c>
      <c r="G3" s="13"/>
      <c r="H3" s="13"/>
      <c r="I3" s="13"/>
      <c r="J3" s="13"/>
      <c r="K3" s="13"/>
      <c r="L3" s="13"/>
      <c r="M3" s="13"/>
      <c r="N3" s="13"/>
      <c r="O3" s="13"/>
      <c r="P3" s="13"/>
      <c r="Q3" s="13"/>
      <c r="R3" s="13"/>
      <c r="S3" s="13"/>
      <c r="T3" s="13"/>
      <c r="U3" s="13"/>
      <c r="V3" s="13"/>
      <c r="W3" s="13"/>
      <c r="X3" s="13"/>
      <c r="Y3" s="13"/>
      <c r="Z3" s="13"/>
    </row>
    <row r="4">
      <c r="A4" s="13"/>
      <c r="B4" s="13" t="s">
        <v>673</v>
      </c>
      <c r="C4" s="456" t="s">
        <v>674</v>
      </c>
      <c r="D4" s="456" t="s">
        <v>675</v>
      </c>
      <c r="E4" s="456" t="s">
        <v>675</v>
      </c>
      <c r="F4" s="456" t="s">
        <v>676</v>
      </c>
      <c r="G4" s="13"/>
      <c r="H4" s="13"/>
      <c r="I4" s="13"/>
      <c r="J4" s="13"/>
      <c r="K4" s="13"/>
      <c r="L4" s="13"/>
      <c r="M4" s="13"/>
      <c r="N4" s="13"/>
      <c r="O4" s="13"/>
      <c r="P4" s="13"/>
      <c r="Q4" s="13"/>
      <c r="R4" s="13"/>
      <c r="S4" s="13"/>
      <c r="T4" s="13"/>
      <c r="U4" s="13"/>
      <c r="V4" s="13"/>
      <c r="W4" s="13"/>
      <c r="X4" s="13"/>
      <c r="Y4" s="13"/>
      <c r="Z4" s="13"/>
    </row>
    <row r="5">
      <c r="A5" s="13"/>
      <c r="B5" s="13" t="s">
        <v>677</v>
      </c>
      <c r="C5" s="456" t="s">
        <v>155</v>
      </c>
      <c r="D5" s="456" t="s">
        <v>155</v>
      </c>
      <c r="E5" s="456" t="s">
        <v>155</v>
      </c>
      <c r="F5" s="456" t="s">
        <v>661</v>
      </c>
      <c r="G5" s="13"/>
      <c r="H5" s="13"/>
      <c r="I5" s="13"/>
      <c r="J5" s="13"/>
      <c r="K5" s="13"/>
      <c r="L5" s="13"/>
      <c r="M5" s="13"/>
      <c r="N5" s="13"/>
      <c r="O5" s="13"/>
      <c r="P5" s="13"/>
      <c r="Q5" s="13"/>
      <c r="R5" s="13"/>
      <c r="S5" s="13"/>
      <c r="T5" s="13"/>
      <c r="U5" s="13"/>
      <c r="V5" s="13"/>
      <c r="W5" s="13"/>
      <c r="X5" s="13"/>
      <c r="Y5" s="13"/>
      <c r="Z5" s="13"/>
    </row>
    <row r="6">
      <c r="A6" s="13"/>
      <c r="B6" s="13" t="s">
        <v>187</v>
      </c>
      <c r="C6" s="456">
        <v>100.0</v>
      </c>
      <c r="D6" s="456">
        <v>50.0</v>
      </c>
      <c r="E6" s="456">
        <v>150.0</v>
      </c>
      <c r="F6" s="456">
        <v>45.0</v>
      </c>
      <c r="G6" s="13"/>
      <c r="H6" s="13"/>
      <c r="I6" s="13"/>
      <c r="J6" s="13"/>
      <c r="K6" s="13"/>
      <c r="L6" s="13"/>
      <c r="M6" s="13"/>
      <c r="N6" s="13"/>
      <c r="O6" s="13"/>
      <c r="P6" s="13"/>
      <c r="Q6" s="13"/>
      <c r="R6" s="13"/>
      <c r="S6" s="13"/>
      <c r="T6" s="13"/>
      <c r="U6" s="13"/>
      <c r="V6" s="13"/>
      <c r="W6" s="13"/>
      <c r="X6" s="13"/>
      <c r="Y6" s="13"/>
      <c r="Z6" s="13"/>
    </row>
    <row r="7">
      <c r="A7" s="13"/>
      <c r="B7" s="13" t="s">
        <v>678</v>
      </c>
      <c r="C7" s="456">
        <v>2021.0</v>
      </c>
      <c r="D7" s="456">
        <v>2021.0</v>
      </c>
      <c r="E7" s="456">
        <v>2021.0</v>
      </c>
      <c r="F7" s="456">
        <v>2024.0</v>
      </c>
      <c r="G7" s="13"/>
      <c r="H7" s="13"/>
      <c r="I7" s="13"/>
      <c r="J7" s="13"/>
      <c r="K7" s="13"/>
      <c r="L7" s="13"/>
      <c r="M7" s="13"/>
      <c r="N7" s="13"/>
      <c r="O7" s="13"/>
      <c r="P7" s="13"/>
      <c r="Q7" s="13"/>
      <c r="R7" s="13"/>
      <c r="S7" s="13"/>
      <c r="T7" s="13"/>
      <c r="U7" s="13"/>
      <c r="V7" s="13"/>
      <c r="W7" s="13"/>
      <c r="X7" s="13"/>
      <c r="Y7" s="13"/>
      <c r="Z7" s="13"/>
    </row>
    <row r="8">
      <c r="A8" s="13"/>
      <c r="B8" s="13" t="s">
        <v>679</v>
      </c>
      <c r="C8" s="456">
        <v>15.0</v>
      </c>
      <c r="D8" s="456">
        <v>11.0</v>
      </c>
      <c r="E8" s="456">
        <v>18.0</v>
      </c>
      <c r="F8" s="456">
        <v>14.0</v>
      </c>
      <c r="G8" s="13"/>
      <c r="H8" s="13"/>
      <c r="I8" s="13"/>
      <c r="J8" s="13"/>
      <c r="K8" s="13"/>
      <c r="L8" s="13"/>
      <c r="M8" s="13"/>
      <c r="N8" s="13"/>
      <c r="O8" s="13"/>
      <c r="P8" s="13"/>
      <c r="Q8" s="13"/>
      <c r="R8" s="13"/>
      <c r="S8" s="13"/>
      <c r="T8" s="13"/>
      <c r="U8" s="13"/>
      <c r="V8" s="13"/>
      <c r="W8" s="13"/>
      <c r="X8" s="13"/>
      <c r="Y8" s="13"/>
      <c r="Z8" s="13"/>
    </row>
    <row r="9">
      <c r="A9" s="13"/>
      <c r="B9" s="13" t="s">
        <v>49</v>
      </c>
      <c r="C9" s="456" t="s">
        <v>680</v>
      </c>
      <c r="D9" s="456" t="s">
        <v>681</v>
      </c>
      <c r="E9" s="456" t="s">
        <v>682</v>
      </c>
      <c r="F9" s="456" t="s">
        <v>683</v>
      </c>
      <c r="G9" s="13"/>
      <c r="H9" s="13"/>
      <c r="I9" s="13"/>
      <c r="J9" s="13"/>
      <c r="K9" s="13"/>
      <c r="L9" s="13"/>
      <c r="M9" s="13"/>
      <c r="N9" s="13"/>
      <c r="O9" s="13"/>
      <c r="P9" s="13"/>
      <c r="Q9" s="13"/>
      <c r="R9" s="13"/>
      <c r="S9" s="13"/>
      <c r="T9" s="13"/>
      <c r="U9" s="13"/>
      <c r="V9" s="13"/>
      <c r="W9" s="13"/>
      <c r="X9" s="13"/>
      <c r="Y9" s="13"/>
      <c r="Z9" s="13"/>
    </row>
    <row r="10">
      <c r="A10" s="13"/>
      <c r="B10" s="13" t="s">
        <v>684</v>
      </c>
      <c r="C10" s="17" t="s">
        <v>685</v>
      </c>
      <c r="D10" s="17" t="s">
        <v>685</v>
      </c>
      <c r="E10" s="17" t="s">
        <v>686</v>
      </c>
      <c r="F10" s="17" t="s">
        <v>687</v>
      </c>
      <c r="G10" s="13"/>
      <c r="H10" s="13"/>
      <c r="I10" s="13"/>
      <c r="J10" s="13"/>
      <c r="K10" s="13"/>
      <c r="L10" s="13"/>
      <c r="M10" s="13"/>
      <c r="N10" s="13"/>
      <c r="O10" s="13"/>
      <c r="P10" s="13"/>
      <c r="Q10" s="13"/>
      <c r="R10" s="13"/>
      <c r="S10" s="13"/>
      <c r="T10" s="13"/>
      <c r="U10" s="13"/>
      <c r="V10" s="13"/>
      <c r="W10" s="13"/>
      <c r="X10" s="13"/>
      <c r="Y10" s="13"/>
      <c r="Z10" s="13"/>
    </row>
    <row r="11">
      <c r="A11" s="13"/>
      <c r="B11" s="13" t="s">
        <v>688</v>
      </c>
      <c r="C11" s="17">
        <v>8.0</v>
      </c>
      <c r="D11" s="17">
        <v>8.0</v>
      </c>
      <c r="E11" s="17">
        <v>15.0</v>
      </c>
      <c r="F11" s="17">
        <v>6.0</v>
      </c>
      <c r="G11" s="13"/>
      <c r="H11" s="13"/>
      <c r="I11" s="13"/>
      <c r="J11" s="13"/>
      <c r="K11" s="13"/>
      <c r="L11" s="13"/>
      <c r="M11" s="13"/>
      <c r="N11" s="13"/>
      <c r="O11" s="13"/>
      <c r="P11" s="13"/>
      <c r="Q11" s="13"/>
      <c r="R11" s="13"/>
      <c r="S11" s="13"/>
      <c r="T11" s="13"/>
      <c r="U11" s="13"/>
      <c r="V11" s="13"/>
      <c r="W11" s="13"/>
      <c r="X11" s="13"/>
      <c r="Y11" s="13"/>
      <c r="Z11" s="13"/>
    </row>
    <row r="12">
      <c r="A12" s="13"/>
      <c r="B12" s="13" t="s">
        <v>689</v>
      </c>
      <c r="C12" s="17" t="s">
        <v>690</v>
      </c>
      <c r="D12" s="17" t="s">
        <v>691</v>
      </c>
      <c r="E12" s="17" t="s">
        <v>692</v>
      </c>
      <c r="F12" s="17" t="s">
        <v>693</v>
      </c>
      <c r="G12" s="13"/>
      <c r="H12" s="13"/>
      <c r="I12" s="13"/>
      <c r="J12" s="13"/>
      <c r="K12" s="13"/>
      <c r="L12" s="13"/>
      <c r="M12" s="13"/>
      <c r="N12" s="13"/>
      <c r="O12" s="13"/>
      <c r="P12" s="13"/>
      <c r="Q12" s="13"/>
      <c r="R12" s="13"/>
      <c r="S12" s="13"/>
      <c r="T12" s="13"/>
      <c r="U12" s="13"/>
      <c r="V12" s="13"/>
      <c r="W12" s="13"/>
      <c r="X12" s="13"/>
      <c r="Y12" s="13"/>
      <c r="Z12" s="13"/>
    </row>
    <row r="13">
      <c r="A13" s="13"/>
      <c r="B13" s="13" t="s">
        <v>694</v>
      </c>
      <c r="C13" s="17" t="s">
        <v>695</v>
      </c>
      <c r="D13" s="17" t="s">
        <v>696</v>
      </c>
      <c r="E13" s="17" t="s">
        <v>697</v>
      </c>
      <c r="F13" s="17" t="s">
        <v>698</v>
      </c>
      <c r="G13" s="13"/>
      <c r="H13" s="13"/>
      <c r="I13" s="13"/>
      <c r="J13" s="13"/>
      <c r="K13" s="13"/>
      <c r="L13" s="13"/>
      <c r="M13" s="13"/>
      <c r="N13" s="13"/>
      <c r="O13" s="13"/>
      <c r="P13" s="13"/>
      <c r="Q13" s="13"/>
      <c r="R13" s="13"/>
      <c r="S13" s="13"/>
      <c r="T13" s="13"/>
      <c r="U13" s="13"/>
      <c r="V13" s="13"/>
      <c r="W13" s="13"/>
      <c r="X13" s="13"/>
      <c r="Y13" s="13"/>
      <c r="Z13" s="13"/>
    </row>
    <row r="14">
      <c r="A14" s="13"/>
      <c r="B14" s="13"/>
      <c r="C14" s="17"/>
      <c r="D14" s="17"/>
      <c r="E14" s="17"/>
      <c r="F14" s="17"/>
      <c r="G14" s="13"/>
      <c r="H14" s="13"/>
      <c r="I14" s="13"/>
      <c r="J14" s="13"/>
      <c r="K14" s="13"/>
      <c r="L14" s="13"/>
      <c r="M14" s="13"/>
      <c r="N14" s="13"/>
      <c r="O14" s="13"/>
      <c r="P14" s="13"/>
      <c r="Q14" s="13"/>
      <c r="R14" s="13"/>
      <c r="S14" s="13"/>
      <c r="T14" s="13"/>
      <c r="U14" s="13"/>
      <c r="V14" s="13"/>
      <c r="W14" s="13"/>
      <c r="X14" s="13"/>
      <c r="Y14" s="13"/>
      <c r="Z14" s="13"/>
    </row>
    <row r="15">
      <c r="A15" s="13"/>
      <c r="B15" s="13" t="s">
        <v>699</v>
      </c>
      <c r="C15" s="457">
        <v>0.865</v>
      </c>
      <c r="D15" s="457">
        <v>0.84</v>
      </c>
      <c r="E15" s="457">
        <v>0.89</v>
      </c>
      <c r="F15" s="457">
        <v>0.87</v>
      </c>
      <c r="G15" s="13"/>
      <c r="H15" s="13"/>
      <c r="I15" s="13"/>
      <c r="J15" s="13"/>
      <c r="K15" s="13"/>
      <c r="L15" s="13"/>
      <c r="M15" s="13"/>
      <c r="N15" s="13"/>
      <c r="O15" s="13"/>
      <c r="P15" s="13"/>
      <c r="Q15" s="13"/>
      <c r="R15" s="13"/>
      <c r="S15" s="13"/>
      <c r="T15" s="13"/>
      <c r="U15" s="13"/>
      <c r="V15" s="13"/>
      <c r="W15" s="13"/>
      <c r="X15" s="13"/>
      <c r="Y15" s="13"/>
      <c r="Z15" s="13"/>
    </row>
    <row r="16">
      <c r="A16" s="13"/>
      <c r="B16" s="13" t="s">
        <v>700</v>
      </c>
      <c r="C16" s="457">
        <v>0.76</v>
      </c>
      <c r="D16" s="17" t="s">
        <v>701</v>
      </c>
      <c r="E16" s="457">
        <v>0.745</v>
      </c>
      <c r="F16" s="17" t="s">
        <v>701</v>
      </c>
      <c r="G16" s="13"/>
      <c r="H16" s="13"/>
      <c r="I16" s="13"/>
      <c r="J16" s="13"/>
      <c r="K16" s="13"/>
      <c r="L16" s="13"/>
      <c r="M16" s="13"/>
      <c r="N16" s="13"/>
      <c r="O16" s="13"/>
      <c r="P16" s="13"/>
      <c r="Q16" s="13"/>
      <c r="R16" s="13"/>
      <c r="S16" s="13"/>
      <c r="T16" s="13"/>
      <c r="U16" s="13"/>
      <c r="V16" s="13"/>
      <c r="W16" s="13"/>
      <c r="X16" s="13"/>
      <c r="Y16" s="13"/>
      <c r="Z16" s="13"/>
    </row>
    <row r="17">
      <c r="A17" s="13"/>
      <c r="B17" s="13"/>
      <c r="C17" s="457"/>
      <c r="D17" s="17"/>
      <c r="E17" s="17"/>
      <c r="F17" s="17"/>
      <c r="G17" s="13"/>
      <c r="H17" s="13"/>
      <c r="I17" s="13"/>
      <c r="J17" s="13"/>
      <c r="K17" s="13"/>
      <c r="L17" s="13"/>
      <c r="M17" s="13"/>
      <c r="N17" s="13"/>
      <c r="O17" s="13"/>
      <c r="P17" s="13"/>
      <c r="Q17" s="13"/>
      <c r="R17" s="13"/>
      <c r="S17" s="13"/>
      <c r="T17" s="13"/>
      <c r="U17" s="13"/>
      <c r="V17" s="13"/>
      <c r="W17" s="13"/>
      <c r="X17" s="13"/>
      <c r="Y17" s="13"/>
      <c r="Z17" s="13"/>
    </row>
    <row r="18">
      <c r="A18" s="13"/>
      <c r="B18" s="13" t="s">
        <v>702</v>
      </c>
      <c r="C18" s="458">
        <v>5500.0</v>
      </c>
      <c r="D18" s="458">
        <v>5700.0</v>
      </c>
      <c r="E18" s="458">
        <v>5600.0</v>
      </c>
      <c r="F18" s="458">
        <v>6000.0</v>
      </c>
      <c r="G18" s="13"/>
      <c r="H18" s="13"/>
      <c r="I18" s="13"/>
      <c r="J18" s="13"/>
      <c r="K18" s="13"/>
      <c r="L18" s="13"/>
      <c r="M18" s="13"/>
      <c r="N18" s="13"/>
      <c r="O18" s="13"/>
      <c r="P18" s="13"/>
      <c r="Q18" s="13"/>
      <c r="R18" s="13"/>
      <c r="S18" s="13"/>
      <c r="T18" s="13"/>
      <c r="U18" s="13"/>
      <c r="V18" s="13"/>
      <c r="W18" s="13"/>
      <c r="X18" s="13"/>
      <c r="Y18" s="13"/>
      <c r="Z18" s="13"/>
    </row>
    <row r="19">
      <c r="A19" s="13"/>
      <c r="B19" s="13"/>
      <c r="C19" s="17"/>
      <c r="D19" s="17"/>
      <c r="E19" s="17"/>
      <c r="F19" s="17"/>
      <c r="G19" s="13"/>
      <c r="H19" s="13"/>
      <c r="I19" s="13"/>
      <c r="J19" s="13"/>
      <c r="K19" s="13"/>
      <c r="L19" s="13"/>
      <c r="M19" s="13"/>
      <c r="N19" s="13"/>
      <c r="O19" s="13"/>
      <c r="P19" s="13"/>
      <c r="Q19" s="13"/>
      <c r="R19" s="13"/>
      <c r="S19" s="13"/>
      <c r="T19" s="13"/>
      <c r="U19" s="13"/>
      <c r="V19" s="13"/>
      <c r="W19" s="13"/>
      <c r="X19" s="13"/>
      <c r="Y19" s="13"/>
      <c r="Z19" s="13"/>
    </row>
    <row r="20">
      <c r="A20" s="13"/>
      <c r="B20" s="13" t="s">
        <v>703</v>
      </c>
      <c r="C20" s="17" t="s">
        <v>704</v>
      </c>
      <c r="D20" s="17" t="s">
        <v>705</v>
      </c>
      <c r="E20" s="17" t="s">
        <v>706</v>
      </c>
      <c r="F20" s="17" t="s">
        <v>707</v>
      </c>
      <c r="G20" s="13"/>
      <c r="H20" s="13"/>
      <c r="I20" s="13"/>
      <c r="J20" s="13"/>
      <c r="K20" s="13"/>
      <c r="L20" s="13"/>
      <c r="M20" s="13"/>
      <c r="N20" s="13"/>
      <c r="O20" s="13"/>
      <c r="P20" s="13"/>
      <c r="Q20" s="13"/>
      <c r="R20" s="13"/>
      <c r="S20" s="13"/>
      <c r="T20" s="13"/>
      <c r="U20" s="13"/>
      <c r="V20" s="13"/>
      <c r="W20" s="13"/>
      <c r="X20" s="13"/>
      <c r="Y20" s="13"/>
      <c r="Z20" s="13"/>
    </row>
    <row r="21" ht="15.75" customHeight="1">
      <c r="A21" s="13"/>
      <c r="B21" s="13"/>
      <c r="C21" s="17"/>
      <c r="D21" s="17"/>
      <c r="E21" s="17"/>
      <c r="F21" s="17"/>
      <c r="G21" s="13"/>
      <c r="H21" s="13"/>
      <c r="I21" s="13"/>
      <c r="J21" s="13"/>
      <c r="K21" s="13"/>
      <c r="L21" s="13"/>
      <c r="M21" s="13"/>
      <c r="N21" s="13"/>
      <c r="O21" s="13"/>
      <c r="P21" s="13"/>
      <c r="Q21" s="13"/>
      <c r="R21" s="13"/>
      <c r="S21" s="13"/>
      <c r="T21" s="13"/>
      <c r="U21" s="13"/>
      <c r="V21" s="13"/>
      <c r="W21" s="13"/>
      <c r="X21" s="13"/>
      <c r="Y21" s="13"/>
      <c r="Z21" s="13"/>
    </row>
    <row r="22" ht="15.75" customHeight="1">
      <c r="A22" s="13"/>
      <c r="B22" s="13" t="s">
        <v>708</v>
      </c>
      <c r="C22" s="458">
        <v>1.6E7</v>
      </c>
      <c r="D22" s="458">
        <v>6800000.0</v>
      </c>
      <c r="E22" s="458">
        <v>2.85E7</v>
      </c>
      <c r="F22" s="458">
        <v>9600000.0</v>
      </c>
      <c r="G22" s="13"/>
      <c r="H22" s="13"/>
      <c r="I22" s="13"/>
      <c r="J22" s="13"/>
      <c r="K22" s="13"/>
      <c r="L22" s="13"/>
      <c r="M22" s="13"/>
      <c r="N22" s="13"/>
      <c r="O22" s="13"/>
      <c r="P22" s="13"/>
      <c r="Q22" s="13"/>
      <c r="R22" s="13"/>
      <c r="S22" s="13"/>
      <c r="T22" s="13"/>
      <c r="U22" s="13"/>
      <c r="V22" s="13"/>
      <c r="W22" s="13"/>
      <c r="X22" s="13"/>
      <c r="Y22" s="13"/>
      <c r="Z22" s="13"/>
    </row>
    <row r="23" ht="15.75" customHeight="1">
      <c r="A23" s="13"/>
      <c r="B23" s="13" t="s">
        <v>709</v>
      </c>
      <c r="C23" s="458">
        <v>2.66E7</v>
      </c>
      <c r="D23" s="458">
        <v>1.13E7</v>
      </c>
      <c r="E23" s="458">
        <v>4.06E7</v>
      </c>
      <c r="F23" s="458">
        <v>1.36E7</v>
      </c>
      <c r="G23" s="13"/>
      <c r="H23" s="13"/>
      <c r="I23" s="13"/>
      <c r="J23" s="13"/>
      <c r="K23" s="13"/>
      <c r="L23" s="13"/>
      <c r="M23" s="13"/>
      <c r="N23" s="13"/>
      <c r="O23" s="13"/>
      <c r="P23" s="13"/>
      <c r="Q23" s="13"/>
      <c r="R23" s="13"/>
      <c r="S23" s="13"/>
      <c r="T23" s="13"/>
      <c r="U23" s="13"/>
      <c r="V23" s="13"/>
      <c r="W23" s="13"/>
      <c r="X23" s="13"/>
      <c r="Y23" s="13"/>
      <c r="Z23" s="13"/>
    </row>
    <row r="24" ht="15.75" customHeight="1">
      <c r="A24" s="13"/>
      <c r="B24" s="13"/>
      <c r="C24" s="17"/>
      <c r="D24" s="17"/>
      <c r="E24" s="17"/>
      <c r="F24" s="17"/>
      <c r="G24" s="13"/>
      <c r="H24" s="13"/>
      <c r="I24" s="13"/>
      <c r="J24" s="13"/>
      <c r="K24" s="13"/>
      <c r="L24" s="13"/>
      <c r="M24" s="13"/>
      <c r="N24" s="13"/>
      <c r="O24" s="13"/>
      <c r="P24" s="13"/>
      <c r="Q24" s="13"/>
      <c r="R24" s="13"/>
      <c r="S24" s="13"/>
      <c r="T24" s="13"/>
      <c r="U24" s="13"/>
      <c r="V24" s="13"/>
      <c r="W24" s="13"/>
      <c r="X24" s="13"/>
      <c r="Y24" s="13"/>
      <c r="Z24" s="13"/>
    </row>
    <row r="25" ht="15.75" customHeight="1">
      <c r="A25" s="13"/>
      <c r="B25" s="13" t="s">
        <v>710</v>
      </c>
      <c r="C25" s="458">
        <f t="shared" ref="C25:F25" si="1">C22/C$6</f>
        <v>160000</v>
      </c>
      <c r="D25" s="458">
        <f t="shared" si="1"/>
        <v>136000</v>
      </c>
      <c r="E25" s="458">
        <f t="shared" si="1"/>
        <v>190000</v>
      </c>
      <c r="F25" s="458">
        <f t="shared" si="1"/>
        <v>213333.3333</v>
      </c>
      <c r="G25" s="13"/>
      <c r="H25" s="13"/>
      <c r="I25" s="13"/>
      <c r="J25" s="13"/>
      <c r="K25" s="13"/>
      <c r="L25" s="13"/>
      <c r="M25" s="13"/>
      <c r="N25" s="13"/>
      <c r="O25" s="13"/>
      <c r="P25" s="13"/>
      <c r="Q25" s="13"/>
      <c r="R25" s="13"/>
      <c r="S25" s="13"/>
      <c r="T25" s="13"/>
      <c r="U25" s="13"/>
      <c r="V25" s="13"/>
      <c r="W25" s="13"/>
      <c r="X25" s="13"/>
      <c r="Y25" s="13"/>
      <c r="Z25" s="13"/>
    </row>
    <row r="26" ht="15.75" customHeight="1">
      <c r="A26" s="13"/>
      <c r="B26" s="13" t="s">
        <v>711</v>
      </c>
      <c r="C26" s="458">
        <f t="shared" ref="C26:F26" si="2">C23/C$6</f>
        <v>266000</v>
      </c>
      <c r="D26" s="458">
        <f t="shared" si="2"/>
        <v>226000</v>
      </c>
      <c r="E26" s="458">
        <f t="shared" si="2"/>
        <v>270666.6667</v>
      </c>
      <c r="F26" s="458">
        <f t="shared" si="2"/>
        <v>302222.2222</v>
      </c>
      <c r="G26" s="13"/>
      <c r="H26" s="13"/>
      <c r="I26" s="13"/>
      <c r="J26" s="13"/>
      <c r="K26" s="13"/>
      <c r="L26" s="13"/>
      <c r="M26" s="13"/>
      <c r="N26" s="13"/>
      <c r="O26" s="13"/>
      <c r="P26" s="13"/>
      <c r="Q26" s="13"/>
      <c r="R26" s="13"/>
      <c r="S26" s="13"/>
      <c r="T26" s="13"/>
      <c r="U26" s="13"/>
      <c r="V26" s="13"/>
      <c r="W26" s="13"/>
      <c r="X26" s="13"/>
      <c r="Y26" s="13"/>
      <c r="Z26" s="13"/>
    </row>
    <row r="27" ht="15.75" customHeight="1">
      <c r="A27" s="13"/>
      <c r="B27" s="13" t="s">
        <v>712</v>
      </c>
      <c r="C27" s="17">
        <v>8.0</v>
      </c>
      <c r="D27" s="17">
        <v>8.0</v>
      </c>
      <c r="E27" s="17">
        <v>15.0</v>
      </c>
      <c r="F27" s="17">
        <v>6.0</v>
      </c>
      <c r="G27" s="13">
        <f>AVERAGE(C27:F27)</f>
        <v>9.25</v>
      </c>
      <c r="H27" s="13"/>
      <c r="I27" s="13"/>
      <c r="J27" s="13"/>
      <c r="K27" s="13"/>
      <c r="L27" s="13"/>
      <c r="M27" s="13"/>
      <c r="N27" s="13"/>
      <c r="O27" s="13"/>
      <c r="P27" s="13"/>
      <c r="Q27" s="13"/>
      <c r="R27" s="13"/>
      <c r="S27" s="13"/>
      <c r="T27" s="13"/>
      <c r="U27" s="13"/>
      <c r="V27" s="13"/>
      <c r="W27" s="13"/>
      <c r="X27" s="13"/>
      <c r="Y27" s="13"/>
      <c r="Z27" s="13"/>
    </row>
    <row r="28" ht="15.75" customHeight="1">
      <c r="A28" s="13"/>
      <c r="B28" s="13"/>
      <c r="C28" s="458"/>
      <c r="D28" s="17"/>
      <c r="E28" s="17"/>
      <c r="F28" s="17"/>
      <c r="G28" s="13"/>
      <c r="H28" s="13"/>
      <c r="I28" s="13"/>
      <c r="J28" s="13"/>
      <c r="K28" s="13"/>
      <c r="L28" s="13"/>
      <c r="M28" s="13"/>
      <c r="N28" s="13"/>
      <c r="O28" s="13"/>
      <c r="P28" s="13"/>
      <c r="Q28" s="13"/>
      <c r="R28" s="13"/>
      <c r="S28" s="13"/>
      <c r="T28" s="13"/>
      <c r="U28" s="13"/>
      <c r="V28" s="13"/>
      <c r="W28" s="13"/>
      <c r="X28" s="13"/>
      <c r="Y28" s="13"/>
      <c r="Z28" s="13"/>
    </row>
    <row r="29" ht="15.75" customHeight="1">
      <c r="A29" s="13"/>
      <c r="B29" s="13"/>
      <c r="C29" s="458"/>
      <c r="D29" s="17"/>
      <c r="E29" s="17"/>
      <c r="F29" s="17"/>
      <c r="G29" s="13"/>
      <c r="H29" s="13"/>
      <c r="I29" s="13"/>
      <c r="J29" s="13"/>
      <c r="K29" s="13"/>
      <c r="L29" s="13"/>
      <c r="M29" s="13"/>
      <c r="N29" s="13"/>
      <c r="O29" s="13"/>
      <c r="P29" s="13"/>
      <c r="Q29" s="13"/>
      <c r="R29" s="13"/>
      <c r="S29" s="13"/>
      <c r="T29" s="13"/>
      <c r="U29" s="13"/>
      <c r="V29" s="13"/>
      <c r="W29" s="13"/>
      <c r="X29" s="13"/>
      <c r="Y29" s="13"/>
      <c r="Z29" s="13"/>
    </row>
    <row r="30" ht="15.75" customHeight="1">
      <c r="A30" s="13"/>
      <c r="B30" s="13"/>
      <c r="C30" s="17"/>
      <c r="D30" s="17"/>
      <c r="E30" s="17"/>
      <c r="F30" s="17"/>
      <c r="G30" s="13"/>
      <c r="H30" s="13"/>
      <c r="I30" s="13"/>
      <c r="J30" s="13"/>
      <c r="K30" s="13"/>
      <c r="L30" s="13"/>
      <c r="M30" s="13"/>
      <c r="N30" s="13"/>
      <c r="O30" s="13"/>
      <c r="P30" s="13"/>
      <c r="Q30" s="13"/>
      <c r="R30" s="13"/>
      <c r="S30" s="13"/>
      <c r="T30" s="13"/>
      <c r="U30" s="13"/>
      <c r="V30" s="13"/>
      <c r="W30" s="13"/>
      <c r="X30" s="13"/>
      <c r="Y30" s="13"/>
      <c r="Z30" s="13"/>
    </row>
    <row r="31" ht="15.75" customHeight="1">
      <c r="A31" s="13"/>
      <c r="B31" s="13"/>
      <c r="C31" s="17"/>
      <c r="D31" s="17"/>
      <c r="E31" s="17"/>
      <c r="F31" s="17"/>
      <c r="G31" s="13"/>
      <c r="H31" s="13"/>
      <c r="I31" s="13"/>
      <c r="J31" s="13"/>
      <c r="K31" s="13"/>
      <c r="L31" s="13"/>
      <c r="M31" s="13"/>
      <c r="N31" s="13"/>
      <c r="O31" s="13"/>
      <c r="P31" s="13"/>
      <c r="Q31" s="13"/>
      <c r="R31" s="13"/>
      <c r="S31" s="13"/>
      <c r="T31" s="13"/>
      <c r="U31" s="13"/>
      <c r="V31" s="13"/>
      <c r="W31" s="13"/>
      <c r="X31" s="13"/>
      <c r="Y31" s="13"/>
      <c r="Z31" s="13"/>
    </row>
    <row r="32" ht="15.75" customHeight="1">
      <c r="A32" s="13"/>
      <c r="B32" s="13"/>
      <c r="C32" s="459" t="s">
        <v>713</v>
      </c>
      <c r="D32" s="460"/>
      <c r="E32" s="17"/>
      <c r="F32" s="17"/>
      <c r="G32" s="461" t="s">
        <v>714</v>
      </c>
      <c r="H32" s="13"/>
      <c r="I32" s="13"/>
      <c r="J32" s="13"/>
      <c r="K32" s="13"/>
      <c r="L32" s="13"/>
      <c r="M32" s="13"/>
      <c r="N32" s="13"/>
      <c r="O32" s="13"/>
      <c r="P32" s="13"/>
      <c r="Q32" s="13"/>
      <c r="R32" s="13"/>
      <c r="S32" s="13"/>
      <c r="T32" s="13"/>
      <c r="U32" s="13"/>
      <c r="V32" s="13"/>
      <c r="W32" s="13"/>
      <c r="X32" s="13"/>
      <c r="Y32" s="13"/>
      <c r="Z32" s="13"/>
    </row>
    <row r="33" ht="15.75" customHeight="1">
      <c r="A33" s="13"/>
      <c r="B33" s="13" t="s">
        <v>715</v>
      </c>
      <c r="C33" s="462">
        <v>2022.0</v>
      </c>
      <c r="D33" s="17"/>
      <c r="E33" s="17"/>
      <c r="F33" s="17"/>
      <c r="G33" s="13">
        <v>2022.0</v>
      </c>
      <c r="H33" s="13"/>
      <c r="I33" s="13"/>
      <c r="J33" s="13"/>
      <c r="K33" s="13"/>
      <c r="L33" s="13"/>
      <c r="M33" s="13"/>
      <c r="N33" s="13"/>
      <c r="O33" s="13"/>
      <c r="P33" s="13"/>
      <c r="Q33" s="13"/>
      <c r="R33" s="13"/>
      <c r="S33" s="13"/>
      <c r="T33" s="13"/>
      <c r="U33" s="13"/>
      <c r="V33" s="13"/>
      <c r="W33" s="13"/>
      <c r="X33" s="13"/>
      <c r="Y33" s="13"/>
      <c r="Z33" s="13"/>
    </row>
    <row r="34" ht="15.75" customHeight="1">
      <c r="A34" s="13"/>
      <c r="B34" s="13" t="s">
        <v>716</v>
      </c>
      <c r="C34" s="462">
        <v>130.0</v>
      </c>
      <c r="D34" s="17"/>
      <c r="E34" s="17"/>
      <c r="F34" s="17"/>
      <c r="G34" s="13">
        <v>124.0</v>
      </c>
      <c r="H34" s="13"/>
      <c r="I34" s="13"/>
      <c r="J34" s="13"/>
      <c r="K34" s="13"/>
      <c r="L34" s="13"/>
      <c r="M34" s="13"/>
      <c r="N34" s="13"/>
      <c r="O34" s="13"/>
      <c r="P34" s="13"/>
      <c r="Q34" s="13"/>
      <c r="R34" s="13"/>
      <c r="S34" s="13"/>
      <c r="T34" s="13"/>
      <c r="U34" s="13"/>
      <c r="V34" s="13"/>
      <c r="W34" s="13"/>
      <c r="X34" s="13"/>
      <c r="Y34" s="13"/>
      <c r="Z34" s="13"/>
    </row>
    <row r="35" ht="15.75" customHeight="1">
      <c r="A35" s="13"/>
      <c r="B35" s="13"/>
      <c r="C35" s="463" t="s">
        <v>407</v>
      </c>
      <c r="D35" s="463" t="s">
        <v>261</v>
      </c>
      <c r="E35" s="463" t="s">
        <v>717</v>
      </c>
      <c r="F35" s="17"/>
      <c r="G35" s="463" t="s">
        <v>407</v>
      </c>
      <c r="H35" s="463" t="s">
        <v>261</v>
      </c>
      <c r="I35" s="463" t="s">
        <v>717</v>
      </c>
      <c r="J35" s="13"/>
      <c r="K35" s="15" t="s">
        <v>718</v>
      </c>
      <c r="L35" s="15" t="s">
        <v>719</v>
      </c>
      <c r="M35" s="15" t="s">
        <v>720</v>
      </c>
      <c r="N35" s="13"/>
      <c r="O35" s="13"/>
      <c r="P35" s="13"/>
      <c r="Q35" s="13"/>
      <c r="R35" s="13"/>
      <c r="S35" s="13"/>
      <c r="T35" s="13"/>
      <c r="U35" s="13"/>
      <c r="V35" s="13"/>
      <c r="W35" s="13"/>
      <c r="X35" s="13"/>
      <c r="Y35" s="13"/>
      <c r="Z35" s="13"/>
    </row>
    <row r="36" ht="15.75" customHeight="1">
      <c r="A36" s="13"/>
      <c r="B36" s="15" t="s">
        <v>721</v>
      </c>
      <c r="C36" s="17"/>
      <c r="D36" s="17"/>
      <c r="E36" s="464"/>
      <c r="F36" s="17"/>
      <c r="G36" s="13"/>
      <c r="H36" s="13"/>
      <c r="I36" s="13"/>
      <c r="J36" s="13"/>
      <c r="K36" s="13"/>
      <c r="L36" s="13"/>
      <c r="M36" s="13"/>
      <c r="N36" s="13"/>
      <c r="O36" s="13"/>
      <c r="P36" s="13"/>
      <c r="Q36" s="13"/>
      <c r="R36" s="13"/>
      <c r="S36" s="13"/>
      <c r="T36" s="13"/>
      <c r="U36" s="13"/>
      <c r="V36" s="13"/>
      <c r="W36" s="13"/>
      <c r="X36" s="13"/>
      <c r="Y36" s="13"/>
      <c r="Z36" s="13"/>
    </row>
    <row r="37" ht="15.75" customHeight="1">
      <c r="A37" s="13"/>
      <c r="B37" s="13" t="s">
        <v>93</v>
      </c>
      <c r="C37" s="465">
        <v>0.0</v>
      </c>
      <c r="D37" s="465">
        <f t="shared" ref="D37:D39" si="4">C37/$C$34</f>
        <v>0</v>
      </c>
      <c r="E37" s="464"/>
      <c r="F37" s="17"/>
      <c r="G37" s="465">
        <v>3100000.0</v>
      </c>
      <c r="H37" s="466">
        <f t="shared" ref="H37:H39" si="5">G37/$G$34</f>
        <v>25000</v>
      </c>
      <c r="I37" s="13"/>
      <c r="J37" s="13"/>
      <c r="K37" s="466">
        <f t="shared" ref="K37:L37" si="3">AVERAGE(C37,G37)</f>
        <v>1550000</v>
      </c>
      <c r="L37" s="466">
        <f t="shared" si="3"/>
        <v>12500</v>
      </c>
      <c r="M37" s="13"/>
      <c r="N37" s="13"/>
      <c r="O37" s="13"/>
      <c r="P37" s="13"/>
      <c r="Q37" s="13"/>
      <c r="R37" s="13"/>
      <c r="S37" s="13"/>
      <c r="T37" s="13"/>
      <c r="U37" s="13"/>
      <c r="V37" s="13"/>
      <c r="W37" s="13"/>
      <c r="X37" s="13"/>
      <c r="Y37" s="13"/>
      <c r="Z37" s="13"/>
    </row>
    <row r="38" ht="15.75" customHeight="1">
      <c r="A38" s="13"/>
      <c r="B38" s="13" t="s">
        <v>722</v>
      </c>
      <c r="C38" s="465">
        <v>0.0</v>
      </c>
      <c r="D38" s="465">
        <f t="shared" si="4"/>
        <v>0</v>
      </c>
      <c r="E38" s="464"/>
      <c r="F38" s="17"/>
      <c r="G38" s="465">
        <v>0.0</v>
      </c>
      <c r="H38" s="466">
        <f t="shared" si="5"/>
        <v>0</v>
      </c>
      <c r="I38" s="13"/>
      <c r="J38" s="13"/>
      <c r="K38" s="466">
        <f t="shared" ref="K38:L38" si="6">AVERAGE(C38,G38)</f>
        <v>0</v>
      </c>
      <c r="L38" s="466">
        <f t="shared" si="6"/>
        <v>0</v>
      </c>
      <c r="M38" s="13"/>
      <c r="N38" s="13"/>
      <c r="O38" s="13"/>
      <c r="P38" s="13"/>
      <c r="Q38" s="13"/>
      <c r="R38" s="13"/>
      <c r="S38" s="13"/>
      <c r="T38" s="13"/>
      <c r="U38" s="13"/>
      <c r="V38" s="13"/>
      <c r="W38" s="13"/>
      <c r="X38" s="13"/>
      <c r="Y38" s="13"/>
      <c r="Z38" s="13"/>
    </row>
    <row r="39" ht="15.75" customHeight="1">
      <c r="A39" s="13"/>
      <c r="B39" s="13" t="s">
        <v>56</v>
      </c>
      <c r="C39" s="465">
        <v>0.0</v>
      </c>
      <c r="D39" s="465">
        <f t="shared" si="4"/>
        <v>0</v>
      </c>
      <c r="E39" s="464"/>
      <c r="F39" s="17"/>
      <c r="G39" s="465">
        <v>0.0</v>
      </c>
      <c r="H39" s="466">
        <f t="shared" si="5"/>
        <v>0</v>
      </c>
      <c r="I39" s="13"/>
      <c r="J39" s="13"/>
      <c r="K39" s="466">
        <f t="shared" ref="K39:L39" si="7">AVERAGE(C39,G39)</f>
        <v>0</v>
      </c>
      <c r="L39" s="466">
        <f t="shared" si="7"/>
        <v>0</v>
      </c>
      <c r="M39" s="13"/>
      <c r="N39" s="13"/>
      <c r="O39" s="13"/>
      <c r="P39" s="13"/>
      <c r="Q39" s="13"/>
      <c r="R39" s="13"/>
      <c r="S39" s="13"/>
      <c r="T39" s="13"/>
      <c r="U39" s="13"/>
      <c r="V39" s="13"/>
      <c r="W39" s="13"/>
      <c r="X39" s="13"/>
      <c r="Y39" s="13"/>
      <c r="Z39" s="13"/>
    </row>
    <row r="40" ht="15.75" customHeight="1">
      <c r="A40" s="13"/>
      <c r="B40" s="13"/>
      <c r="C40" s="465"/>
      <c r="D40" s="17"/>
      <c r="E40" s="464"/>
      <c r="F40" s="17"/>
      <c r="G40" s="465"/>
      <c r="H40" s="13"/>
      <c r="I40" s="13"/>
      <c r="J40" s="13"/>
      <c r="K40" s="13"/>
      <c r="L40" s="13"/>
      <c r="M40" s="13"/>
      <c r="N40" s="13"/>
      <c r="O40" s="13"/>
      <c r="P40" s="13"/>
      <c r="Q40" s="13"/>
      <c r="R40" s="13"/>
      <c r="S40" s="13"/>
      <c r="T40" s="13"/>
      <c r="U40" s="13"/>
      <c r="V40" s="13"/>
      <c r="W40" s="13"/>
      <c r="X40" s="13"/>
      <c r="Y40" s="13"/>
      <c r="Z40" s="13"/>
    </row>
    <row r="41" ht="15.75" customHeight="1">
      <c r="A41" s="13"/>
      <c r="B41" s="15" t="s">
        <v>49</v>
      </c>
      <c r="C41" s="465"/>
      <c r="D41" s="17"/>
      <c r="E41" s="464"/>
      <c r="F41" s="17"/>
      <c r="G41" s="465"/>
      <c r="H41" s="13"/>
      <c r="I41" s="13"/>
      <c r="J41" s="13"/>
      <c r="K41" s="13"/>
      <c r="L41" s="13"/>
      <c r="M41" s="13"/>
      <c r="N41" s="13"/>
      <c r="O41" s="13"/>
      <c r="P41" s="13"/>
      <c r="Q41" s="13"/>
      <c r="R41" s="13"/>
      <c r="S41" s="13"/>
      <c r="T41" s="13"/>
      <c r="U41" s="13"/>
      <c r="V41" s="13"/>
      <c r="W41" s="13"/>
      <c r="X41" s="13"/>
      <c r="Y41" s="13"/>
      <c r="Z41" s="13"/>
    </row>
    <row r="42" ht="15.75" customHeight="1">
      <c r="A42" s="13"/>
      <c r="B42" s="13" t="s">
        <v>723</v>
      </c>
      <c r="C42" s="465">
        <v>2.34E7</v>
      </c>
      <c r="D42" s="465">
        <f t="shared" ref="D42:D45" si="9">C42/$C$34</f>
        <v>180000</v>
      </c>
      <c r="E42" s="464"/>
      <c r="F42" s="17"/>
      <c r="G42" s="465">
        <v>2.4334E7</v>
      </c>
      <c r="H42" s="466">
        <f t="shared" ref="H42:H53" si="10">G42/$G$34</f>
        <v>196241.9355</v>
      </c>
      <c r="I42" s="13"/>
      <c r="J42" s="13"/>
      <c r="K42" s="466">
        <f t="shared" ref="K42:L42" si="8">AVERAGE(C42,G42)</f>
        <v>23867000</v>
      </c>
      <c r="L42" s="466">
        <f t="shared" si="8"/>
        <v>188120.9677</v>
      </c>
      <c r="M42" s="13"/>
      <c r="N42" s="13"/>
      <c r="O42" s="467"/>
      <c r="P42" s="13"/>
      <c r="Q42" s="13"/>
      <c r="R42" s="13"/>
      <c r="S42" s="13"/>
      <c r="T42" s="13"/>
      <c r="U42" s="13"/>
      <c r="V42" s="13"/>
      <c r="W42" s="13"/>
      <c r="X42" s="13"/>
      <c r="Y42" s="13"/>
      <c r="Z42" s="13"/>
    </row>
    <row r="43" ht="15.75" customHeight="1">
      <c r="A43" s="13"/>
      <c r="B43" s="13" t="s">
        <v>724</v>
      </c>
      <c r="C43" s="465">
        <v>1269135.0</v>
      </c>
      <c r="D43" s="465">
        <f t="shared" si="9"/>
        <v>9762.576923</v>
      </c>
      <c r="E43" s="464">
        <f t="shared" ref="E43:E45" si="12">C43/$C$42</f>
        <v>0.05423653846</v>
      </c>
      <c r="F43" s="17"/>
      <c r="G43" s="465">
        <v>1327183.0</v>
      </c>
      <c r="H43" s="466">
        <f t="shared" si="10"/>
        <v>10703.08871</v>
      </c>
      <c r="I43" s="464">
        <f t="shared" ref="I43:I45" si="13">G43/$G$42</f>
        <v>0.05454027287</v>
      </c>
      <c r="J43" s="13"/>
      <c r="K43" s="466">
        <f t="shared" ref="K43:M43" si="11">AVERAGE(C43,G43)</f>
        <v>1298159</v>
      </c>
      <c r="L43" s="466">
        <f t="shared" si="11"/>
        <v>10232.83282</v>
      </c>
      <c r="M43" s="48">
        <f t="shared" si="11"/>
        <v>0.05438840567</v>
      </c>
      <c r="N43" s="13"/>
      <c r="O43" s="13"/>
      <c r="P43" s="13"/>
      <c r="Q43" s="13"/>
      <c r="R43" s="13"/>
      <c r="S43" s="13"/>
      <c r="T43" s="13"/>
      <c r="U43" s="13"/>
      <c r="V43" s="13"/>
      <c r="W43" s="13"/>
      <c r="X43" s="13"/>
      <c r="Y43" s="13"/>
      <c r="Z43" s="13"/>
    </row>
    <row r="44" ht="15.75" customHeight="1">
      <c r="A44" s="13"/>
      <c r="B44" s="13" t="s">
        <v>725</v>
      </c>
      <c r="C44" s="465">
        <v>497700.0</v>
      </c>
      <c r="D44" s="465">
        <f t="shared" si="9"/>
        <v>3828.461538</v>
      </c>
      <c r="E44" s="464">
        <f t="shared" si="12"/>
        <v>0.02126923077</v>
      </c>
      <c r="F44" s="17"/>
      <c r="G44" s="465">
        <v>520464.0</v>
      </c>
      <c r="H44" s="466">
        <f t="shared" si="10"/>
        <v>4197.290323</v>
      </c>
      <c r="I44" s="464">
        <f t="shared" si="13"/>
        <v>0.02138834552</v>
      </c>
      <c r="J44" s="13"/>
      <c r="K44" s="466">
        <f t="shared" ref="K44:M44" si="14">AVERAGE(C44,G44)</f>
        <v>509082</v>
      </c>
      <c r="L44" s="466">
        <f t="shared" si="14"/>
        <v>4012.875931</v>
      </c>
      <c r="M44" s="48">
        <f t="shared" si="14"/>
        <v>0.02132878815</v>
      </c>
      <c r="N44" s="13"/>
      <c r="O44" s="13"/>
      <c r="P44" s="13"/>
      <c r="Q44" s="13"/>
      <c r="R44" s="13"/>
      <c r="S44" s="13"/>
      <c r="T44" s="13"/>
      <c r="U44" s="13"/>
      <c r="V44" s="13"/>
      <c r="W44" s="13"/>
      <c r="X44" s="13"/>
      <c r="Y44" s="13"/>
      <c r="Z44" s="13"/>
    </row>
    <row r="45" ht="15.75" customHeight="1">
      <c r="A45" s="13"/>
      <c r="B45" s="13" t="s">
        <v>726</v>
      </c>
      <c r="C45" s="465">
        <v>1185000.0</v>
      </c>
      <c r="D45" s="465">
        <f t="shared" si="9"/>
        <v>9115.384615</v>
      </c>
      <c r="E45" s="464">
        <f t="shared" si="12"/>
        <v>0.05064102564</v>
      </c>
      <c r="F45" s="17"/>
      <c r="G45" s="465">
        <v>1239200.0</v>
      </c>
      <c r="H45" s="466">
        <f t="shared" si="10"/>
        <v>9993.548387</v>
      </c>
      <c r="I45" s="464">
        <f t="shared" si="13"/>
        <v>0.0509246322</v>
      </c>
      <c r="J45" s="13"/>
      <c r="K45" s="466">
        <f t="shared" ref="K45:M45" si="15">AVERAGE(C45,G45)</f>
        <v>1212100</v>
      </c>
      <c r="L45" s="466">
        <f t="shared" si="15"/>
        <v>9554.466501</v>
      </c>
      <c r="M45" s="48">
        <f t="shared" si="15"/>
        <v>0.05078282892</v>
      </c>
      <c r="N45" s="13"/>
      <c r="O45" s="13"/>
      <c r="P45" s="13"/>
      <c r="Q45" s="13"/>
      <c r="R45" s="13"/>
      <c r="S45" s="13"/>
      <c r="T45" s="13"/>
      <c r="U45" s="13"/>
      <c r="V45" s="13"/>
      <c r="W45" s="13"/>
      <c r="X45" s="13"/>
      <c r="Y45" s="13"/>
      <c r="Z45" s="13"/>
    </row>
    <row r="46" ht="15.75" customHeight="1">
      <c r="A46" s="13"/>
      <c r="B46" s="13" t="s">
        <v>727</v>
      </c>
      <c r="C46" s="465"/>
      <c r="D46" s="17"/>
      <c r="E46" s="464"/>
      <c r="F46" s="17"/>
      <c r="G46" s="465">
        <v>0.0</v>
      </c>
      <c r="H46" s="466">
        <f t="shared" si="10"/>
        <v>0</v>
      </c>
      <c r="I46" s="13"/>
      <c r="J46" s="13"/>
      <c r="K46" s="466">
        <f t="shared" ref="K46:L46" si="16">AVERAGE(C46,G46)</f>
        <v>0</v>
      </c>
      <c r="L46" s="466">
        <f t="shared" si="16"/>
        <v>0</v>
      </c>
      <c r="M46" s="13"/>
      <c r="N46" s="13"/>
      <c r="O46" s="13"/>
      <c r="P46" s="13"/>
      <c r="Q46" s="13"/>
      <c r="R46" s="13"/>
      <c r="S46" s="13"/>
      <c r="T46" s="13"/>
      <c r="U46" s="13"/>
      <c r="V46" s="13"/>
      <c r="W46" s="13"/>
      <c r="X46" s="13"/>
      <c r="Y46" s="13"/>
      <c r="Z46" s="13"/>
    </row>
    <row r="47" ht="15.75" customHeight="1">
      <c r="A47" s="13"/>
      <c r="B47" s="13" t="s">
        <v>728</v>
      </c>
      <c r="C47" s="465">
        <v>85000.0</v>
      </c>
      <c r="D47" s="465">
        <f t="shared" ref="D47:D48" si="18">C47/$C$34</f>
        <v>653.8461538</v>
      </c>
      <c r="E47" s="468">
        <f>C47/SUM($C$42:$C$45)</f>
        <v>0.003225581824</v>
      </c>
      <c r="F47" s="17"/>
      <c r="G47" s="465">
        <v>200000.0</v>
      </c>
      <c r="H47" s="466">
        <f t="shared" si="10"/>
        <v>1612.903226</v>
      </c>
      <c r="I47" s="468">
        <f>G47/SUM($G$42:$G$45)</f>
        <v>0.007293720723</v>
      </c>
      <c r="J47" s="13"/>
      <c r="K47" s="466">
        <f t="shared" ref="K47:M47" si="17">AVERAGE(C47,G47)</f>
        <v>142500</v>
      </c>
      <c r="L47" s="466">
        <f t="shared" si="17"/>
        <v>1133.37469</v>
      </c>
      <c r="M47" s="48">
        <f t="shared" si="17"/>
        <v>0.005259651273</v>
      </c>
      <c r="N47" s="13"/>
      <c r="O47" s="13"/>
      <c r="P47" s="13"/>
      <c r="Q47" s="13"/>
      <c r="R47" s="13"/>
      <c r="S47" s="13"/>
      <c r="T47" s="13"/>
      <c r="U47" s="13"/>
      <c r="V47" s="13"/>
      <c r="W47" s="13"/>
      <c r="X47" s="13"/>
      <c r="Y47" s="13"/>
      <c r="Z47" s="13"/>
    </row>
    <row r="48" ht="15.75" customHeight="1">
      <c r="A48" s="13"/>
      <c r="B48" s="13" t="s">
        <v>729</v>
      </c>
      <c r="C48" s="465">
        <v>300000.0</v>
      </c>
      <c r="D48" s="465">
        <f t="shared" si="18"/>
        <v>2307.692308</v>
      </c>
      <c r="E48" s="464"/>
      <c r="F48" s="17"/>
      <c r="G48" s="465">
        <v>0.0</v>
      </c>
      <c r="H48" s="466">
        <f t="shared" si="10"/>
        <v>0</v>
      </c>
      <c r="I48" s="13"/>
      <c r="J48" s="13"/>
      <c r="K48" s="466">
        <f t="shared" ref="K48:L48" si="19">AVERAGE(C48,G48)</f>
        <v>150000</v>
      </c>
      <c r="L48" s="466">
        <f t="shared" si="19"/>
        <v>1153.846154</v>
      </c>
      <c r="M48" s="13"/>
      <c r="N48" s="13"/>
      <c r="O48" s="13"/>
      <c r="P48" s="13"/>
      <c r="Q48" s="13"/>
      <c r="R48" s="13"/>
      <c r="S48" s="13"/>
      <c r="T48" s="13"/>
      <c r="U48" s="13"/>
      <c r="V48" s="13"/>
      <c r="W48" s="13"/>
      <c r="X48" s="13"/>
      <c r="Y48" s="13"/>
      <c r="Z48" s="13"/>
    </row>
    <row r="49" ht="15.75" customHeight="1">
      <c r="A49" s="13"/>
      <c r="B49" s="13" t="s">
        <v>730</v>
      </c>
      <c r="C49" s="465"/>
      <c r="D49" s="17"/>
      <c r="E49" s="464"/>
      <c r="F49" s="17"/>
      <c r="G49" s="465">
        <v>0.0</v>
      </c>
      <c r="H49" s="466">
        <f t="shared" si="10"/>
        <v>0</v>
      </c>
      <c r="I49" s="13"/>
      <c r="J49" s="13"/>
      <c r="K49" s="466">
        <f t="shared" ref="K49:L49" si="20">AVERAGE(C49,G49)</f>
        <v>0</v>
      </c>
      <c r="L49" s="466">
        <f t="shared" si="20"/>
        <v>0</v>
      </c>
      <c r="M49" s="13"/>
      <c r="N49" s="13"/>
      <c r="O49" s="13"/>
      <c r="P49" s="13"/>
      <c r="Q49" s="13"/>
      <c r="R49" s="13"/>
      <c r="S49" s="13"/>
      <c r="T49" s="13"/>
      <c r="U49" s="13"/>
      <c r="V49" s="13"/>
      <c r="W49" s="13"/>
      <c r="X49" s="13"/>
      <c r="Y49" s="13"/>
      <c r="Z49" s="13"/>
    </row>
    <row r="50" ht="15.75" customHeight="1">
      <c r="A50" s="13"/>
      <c r="B50" s="13" t="s">
        <v>731</v>
      </c>
      <c r="C50" s="465"/>
      <c r="D50" s="17"/>
      <c r="E50" s="464"/>
      <c r="F50" s="17"/>
      <c r="G50" s="465">
        <v>0.0</v>
      </c>
      <c r="H50" s="466">
        <f t="shared" si="10"/>
        <v>0</v>
      </c>
      <c r="I50" s="13"/>
      <c r="J50" s="13"/>
      <c r="K50" s="466">
        <f t="shared" ref="K50:L50" si="21">AVERAGE(C50,G50)</f>
        <v>0</v>
      </c>
      <c r="L50" s="466">
        <f t="shared" si="21"/>
        <v>0</v>
      </c>
      <c r="M50" s="13"/>
      <c r="N50" s="13"/>
      <c r="O50" s="13"/>
      <c r="P50" s="13"/>
      <c r="Q50" s="13"/>
      <c r="R50" s="13"/>
      <c r="S50" s="13"/>
      <c r="T50" s="13"/>
      <c r="U50" s="13"/>
      <c r="V50" s="13"/>
      <c r="W50" s="13"/>
      <c r="X50" s="13"/>
      <c r="Y50" s="13"/>
      <c r="Z50" s="13"/>
    </row>
    <row r="51" ht="15.75" customHeight="1">
      <c r="A51" s="13"/>
      <c r="B51" s="13" t="s">
        <v>732</v>
      </c>
      <c r="C51" s="465">
        <v>0.0</v>
      </c>
      <c r="D51" s="465">
        <f t="shared" ref="D51:D52" si="23">C51/$C$34</f>
        <v>0</v>
      </c>
      <c r="E51" s="464"/>
      <c r="F51" s="17"/>
      <c r="G51" s="465">
        <v>0.0</v>
      </c>
      <c r="H51" s="466">
        <f t="shared" si="10"/>
        <v>0</v>
      </c>
      <c r="I51" s="13"/>
      <c r="J51" s="13"/>
      <c r="K51" s="466">
        <f t="shared" ref="K51:L51" si="22">AVERAGE(C51,G51)</f>
        <v>0</v>
      </c>
      <c r="L51" s="466">
        <f t="shared" si="22"/>
        <v>0</v>
      </c>
      <c r="M51" s="13"/>
      <c r="N51" s="13"/>
      <c r="O51" s="13"/>
      <c r="P51" s="13"/>
      <c r="Q51" s="13"/>
      <c r="R51" s="13"/>
      <c r="S51" s="13"/>
      <c r="T51" s="13"/>
      <c r="U51" s="13"/>
      <c r="V51" s="13"/>
      <c r="W51" s="13"/>
      <c r="X51" s="13"/>
      <c r="Y51" s="13"/>
      <c r="Z51" s="13"/>
    </row>
    <row r="52" ht="15.75" customHeight="1">
      <c r="A52" s="13"/>
      <c r="B52" s="13" t="s">
        <v>100</v>
      </c>
      <c r="C52" s="465">
        <v>1332592.0</v>
      </c>
      <c r="D52" s="465">
        <f t="shared" si="23"/>
        <v>10250.70769</v>
      </c>
      <c r="E52" s="468">
        <f>C52/SUM($C$42:$C$45)</f>
        <v>0.05056922981</v>
      </c>
      <c r="F52" s="17"/>
      <c r="G52" s="465">
        <v>1393542.0</v>
      </c>
      <c r="H52" s="466">
        <f t="shared" si="10"/>
        <v>11238.24194</v>
      </c>
      <c r="I52" s="468">
        <f>G52/SUM($G$42:$G$45)</f>
        <v>0.05082053082</v>
      </c>
      <c r="J52" s="13"/>
      <c r="K52" s="466">
        <f t="shared" ref="K52:M52" si="24">AVERAGE(C52,G52)</f>
        <v>1363067</v>
      </c>
      <c r="L52" s="466">
        <f t="shared" si="24"/>
        <v>10744.47481</v>
      </c>
      <c r="M52" s="48">
        <f t="shared" si="24"/>
        <v>0.05069488031</v>
      </c>
      <c r="N52" s="13"/>
      <c r="O52" s="13"/>
      <c r="P52" s="13"/>
      <c r="Q52" s="13"/>
      <c r="R52" s="13"/>
      <c r="S52" s="13"/>
      <c r="T52" s="13"/>
      <c r="U52" s="13"/>
      <c r="V52" s="13"/>
      <c r="W52" s="13"/>
      <c r="X52" s="13"/>
      <c r="Y52" s="13"/>
      <c r="Z52" s="13"/>
    </row>
    <row r="53" ht="15.75" customHeight="1">
      <c r="A53" s="13"/>
      <c r="B53" s="13" t="s">
        <v>56</v>
      </c>
      <c r="C53" s="465"/>
      <c r="D53" s="17"/>
      <c r="E53" s="464"/>
      <c r="F53" s="17"/>
      <c r="G53" s="465">
        <v>0.0</v>
      </c>
      <c r="H53" s="466">
        <f t="shared" si="10"/>
        <v>0</v>
      </c>
      <c r="I53" s="13"/>
      <c r="J53" s="13"/>
      <c r="K53" s="466">
        <f t="shared" ref="K53:L53" si="25">AVERAGE(C53,G53)</f>
        <v>0</v>
      </c>
      <c r="L53" s="466">
        <f t="shared" si="25"/>
        <v>0</v>
      </c>
      <c r="M53" s="13"/>
      <c r="N53" s="13"/>
      <c r="O53" s="13"/>
      <c r="P53" s="13"/>
      <c r="Q53" s="13"/>
      <c r="R53" s="13"/>
      <c r="S53" s="13"/>
      <c r="T53" s="13"/>
      <c r="U53" s="13"/>
      <c r="V53" s="13"/>
      <c r="W53" s="13"/>
      <c r="X53" s="13"/>
      <c r="Y53" s="13"/>
      <c r="Z53" s="13"/>
    </row>
    <row r="54" ht="15.75" customHeight="1">
      <c r="A54" s="13"/>
      <c r="B54" s="13"/>
      <c r="C54" s="465"/>
      <c r="D54" s="17"/>
      <c r="E54" s="464"/>
      <c r="F54" s="17"/>
      <c r="G54" s="465"/>
      <c r="H54" s="13"/>
      <c r="I54" s="13"/>
      <c r="J54" s="13"/>
      <c r="K54" s="13"/>
      <c r="L54" s="13"/>
      <c r="M54" s="13"/>
      <c r="N54" s="13"/>
      <c r="O54" s="13"/>
      <c r="P54" s="13"/>
      <c r="Q54" s="13"/>
      <c r="R54" s="13"/>
      <c r="S54" s="13"/>
      <c r="T54" s="13"/>
      <c r="U54" s="13"/>
      <c r="V54" s="13"/>
      <c r="W54" s="13"/>
      <c r="X54" s="13"/>
      <c r="Y54" s="13"/>
      <c r="Z54" s="13"/>
    </row>
    <row r="55" ht="15.75" customHeight="1">
      <c r="A55" s="13"/>
      <c r="B55" s="15" t="s">
        <v>733</v>
      </c>
      <c r="C55" s="465"/>
      <c r="D55" s="17"/>
      <c r="E55" s="464"/>
      <c r="F55" s="17"/>
      <c r="G55" s="465"/>
      <c r="H55" s="13"/>
      <c r="I55" s="13"/>
      <c r="J55" s="13"/>
      <c r="K55" s="13"/>
      <c r="L55" s="13"/>
      <c r="M55" s="13"/>
      <c r="N55" s="13"/>
      <c r="O55" s="13"/>
      <c r="P55" s="13"/>
      <c r="Q55" s="13"/>
      <c r="R55" s="13"/>
      <c r="S55" s="13"/>
      <c r="T55" s="13"/>
      <c r="U55" s="13"/>
      <c r="V55" s="13"/>
      <c r="W55" s="13"/>
      <c r="X55" s="13"/>
      <c r="Y55" s="13"/>
      <c r="Z55" s="13"/>
    </row>
    <row r="56" ht="15.75" customHeight="1">
      <c r="A56" s="13"/>
      <c r="B56" s="13" t="s">
        <v>734</v>
      </c>
      <c r="C56" s="465">
        <v>550000.0</v>
      </c>
      <c r="D56" s="465">
        <f t="shared" ref="D56:D59" si="27">C56/$C$34</f>
        <v>4230.769231</v>
      </c>
      <c r="E56" s="468">
        <f t="shared" ref="E56:E59" si="28">C56/SUM($C$42:$C$45)</f>
        <v>0.0208714118</v>
      </c>
      <c r="F56" s="17"/>
      <c r="G56" s="465">
        <v>265000.0</v>
      </c>
      <c r="H56" s="466">
        <f t="shared" ref="H56:H59" si="29">G56/$G$34</f>
        <v>2137.096774</v>
      </c>
      <c r="I56" s="468">
        <f t="shared" ref="I56:I59" si="30">G56/SUM($G$42:$G$45)</f>
        <v>0.009664179958</v>
      </c>
      <c r="J56" s="13"/>
      <c r="K56" s="466">
        <f t="shared" ref="K56:M56" si="26">AVERAGE(C56,G56)</f>
        <v>407500</v>
      </c>
      <c r="L56" s="466">
        <f t="shared" si="26"/>
        <v>3183.933002</v>
      </c>
      <c r="M56" s="48">
        <f t="shared" si="26"/>
        <v>0.01526779588</v>
      </c>
      <c r="N56" s="13"/>
      <c r="O56" s="13"/>
      <c r="P56" s="13"/>
      <c r="Q56" s="13"/>
      <c r="R56" s="13"/>
      <c r="S56" s="13"/>
      <c r="T56" s="13"/>
      <c r="U56" s="13"/>
      <c r="V56" s="13"/>
      <c r="W56" s="13"/>
      <c r="X56" s="13"/>
      <c r="Y56" s="13"/>
      <c r="Z56" s="13"/>
    </row>
    <row r="57" ht="15.75" customHeight="1">
      <c r="A57" s="13"/>
      <c r="B57" s="13" t="s">
        <v>735</v>
      </c>
      <c r="C57" s="465">
        <v>50000.0</v>
      </c>
      <c r="D57" s="465">
        <f t="shared" si="27"/>
        <v>384.6153846</v>
      </c>
      <c r="E57" s="468">
        <f t="shared" si="28"/>
        <v>0.001897401073</v>
      </c>
      <c r="F57" s="17"/>
      <c r="G57" s="465">
        <v>62000.0</v>
      </c>
      <c r="H57" s="466">
        <f t="shared" si="29"/>
        <v>500</v>
      </c>
      <c r="I57" s="468">
        <f t="shared" si="30"/>
        <v>0.002261053424</v>
      </c>
      <c r="J57" s="13"/>
      <c r="K57" s="466">
        <f t="shared" ref="K57:M57" si="31">AVERAGE(C57,G57)</f>
        <v>56000</v>
      </c>
      <c r="L57" s="466">
        <f t="shared" si="31"/>
        <v>442.3076923</v>
      </c>
      <c r="M57" s="48">
        <f t="shared" si="31"/>
        <v>0.002079227248</v>
      </c>
      <c r="N57" s="13"/>
      <c r="O57" s="13"/>
      <c r="P57" s="13"/>
      <c r="Q57" s="13"/>
      <c r="R57" s="13"/>
      <c r="S57" s="13"/>
      <c r="T57" s="13"/>
      <c r="U57" s="13"/>
      <c r="V57" s="13"/>
      <c r="W57" s="13"/>
      <c r="X57" s="13"/>
      <c r="Y57" s="13"/>
      <c r="Z57" s="13"/>
    </row>
    <row r="58" ht="15.75" customHeight="1">
      <c r="A58" s="13"/>
      <c r="B58" s="13" t="s">
        <v>736</v>
      </c>
      <c r="C58" s="465">
        <v>100000.0</v>
      </c>
      <c r="D58" s="465">
        <f t="shared" si="27"/>
        <v>769.2307692</v>
      </c>
      <c r="E58" s="468">
        <f t="shared" si="28"/>
        <v>0.003794802146</v>
      </c>
      <c r="F58" s="17"/>
      <c r="G58" s="465">
        <v>50000.0</v>
      </c>
      <c r="H58" s="466">
        <f t="shared" si="29"/>
        <v>403.2258065</v>
      </c>
      <c r="I58" s="468">
        <f t="shared" si="30"/>
        <v>0.001823430181</v>
      </c>
      <c r="J58" s="13"/>
      <c r="K58" s="466">
        <f t="shared" ref="K58:M58" si="32">AVERAGE(C58,G58)</f>
        <v>75000</v>
      </c>
      <c r="L58" s="466">
        <f t="shared" si="32"/>
        <v>586.2282878</v>
      </c>
      <c r="M58" s="48">
        <f t="shared" si="32"/>
        <v>0.002809116163</v>
      </c>
      <c r="N58" s="13"/>
      <c r="O58" s="13"/>
      <c r="P58" s="13"/>
      <c r="Q58" s="13"/>
      <c r="R58" s="13"/>
      <c r="S58" s="13"/>
      <c r="T58" s="13"/>
      <c r="U58" s="13"/>
      <c r="V58" s="13"/>
      <c r="W58" s="13"/>
      <c r="X58" s="13"/>
      <c r="Y58" s="13"/>
      <c r="Z58" s="13"/>
    </row>
    <row r="59" ht="15.75" customHeight="1">
      <c r="A59" s="13"/>
      <c r="B59" s="13" t="s">
        <v>737</v>
      </c>
      <c r="C59" s="465">
        <v>5000.0</v>
      </c>
      <c r="D59" s="465">
        <f t="shared" si="27"/>
        <v>38.46153846</v>
      </c>
      <c r="E59" s="468">
        <f t="shared" si="28"/>
        <v>0.0001897401073</v>
      </c>
      <c r="F59" s="17"/>
      <c r="G59" s="465">
        <v>0.0</v>
      </c>
      <c r="H59" s="466">
        <f t="shared" si="29"/>
        <v>0</v>
      </c>
      <c r="I59" s="468">
        <f t="shared" si="30"/>
        <v>0</v>
      </c>
      <c r="J59" s="13"/>
      <c r="K59" s="466">
        <f t="shared" ref="K59:M59" si="33">AVERAGE(C59,G59)</f>
        <v>2500</v>
      </c>
      <c r="L59" s="466">
        <f t="shared" si="33"/>
        <v>19.23076923</v>
      </c>
      <c r="M59" s="48">
        <f t="shared" si="33"/>
        <v>0.00009487005364</v>
      </c>
      <c r="N59" s="13"/>
      <c r="O59" s="13"/>
      <c r="P59" s="13"/>
      <c r="Q59" s="13"/>
      <c r="R59" s="13"/>
      <c r="S59" s="13"/>
      <c r="T59" s="13"/>
      <c r="U59" s="13"/>
      <c r="V59" s="13"/>
      <c r="W59" s="13"/>
      <c r="X59" s="13"/>
      <c r="Y59" s="13"/>
      <c r="Z59" s="13"/>
    </row>
    <row r="60" ht="15.75" customHeight="1">
      <c r="A60" s="13"/>
      <c r="B60" s="13"/>
      <c r="C60" s="465"/>
      <c r="D60" s="17"/>
      <c r="E60" s="464"/>
      <c r="F60" s="17"/>
      <c r="G60" s="465"/>
      <c r="H60" s="13"/>
      <c r="I60" s="13"/>
      <c r="J60" s="13"/>
      <c r="K60" s="13"/>
      <c r="L60" s="13"/>
      <c r="M60" s="13"/>
      <c r="N60" s="13"/>
      <c r="O60" s="13"/>
      <c r="P60" s="13"/>
      <c r="Q60" s="13"/>
      <c r="R60" s="13"/>
      <c r="S60" s="13"/>
      <c r="T60" s="13"/>
      <c r="U60" s="13"/>
      <c r="V60" s="13"/>
      <c r="W60" s="13"/>
      <c r="X60" s="13"/>
      <c r="Y60" s="13"/>
      <c r="Z60" s="13"/>
    </row>
    <row r="61" ht="15.75" customHeight="1">
      <c r="A61" s="13"/>
      <c r="B61" s="15" t="s">
        <v>738</v>
      </c>
      <c r="C61" s="465"/>
      <c r="D61" s="17"/>
      <c r="E61" s="464"/>
      <c r="F61" s="17"/>
      <c r="G61" s="465"/>
      <c r="H61" s="13"/>
      <c r="I61" s="13"/>
      <c r="J61" s="13"/>
      <c r="K61" s="13"/>
      <c r="L61" s="13"/>
      <c r="M61" s="13"/>
      <c r="N61" s="13"/>
      <c r="O61" s="13"/>
      <c r="P61" s="13"/>
      <c r="Q61" s="13"/>
      <c r="R61" s="13"/>
      <c r="S61" s="13"/>
      <c r="T61" s="13"/>
      <c r="U61" s="13"/>
      <c r="V61" s="13"/>
      <c r="W61" s="13"/>
      <c r="X61" s="13"/>
      <c r="Y61" s="13"/>
      <c r="Z61" s="13"/>
    </row>
    <row r="62" ht="15.75" customHeight="1">
      <c r="A62" s="13"/>
      <c r="B62" s="13" t="s">
        <v>739</v>
      </c>
      <c r="C62" s="465">
        <v>60000.0</v>
      </c>
      <c r="D62" s="465">
        <f t="shared" ref="D62:D68" si="35">C62/$C$34</f>
        <v>461.5384615</v>
      </c>
      <c r="E62" s="468">
        <f>C62/SUM($C$42:$C$45)</f>
        <v>0.002276881287</v>
      </c>
      <c r="F62" s="17"/>
      <c r="G62" s="465">
        <v>120000.0</v>
      </c>
      <c r="H62" s="466">
        <f t="shared" ref="H62:H68" si="36">G62/$G$34</f>
        <v>967.7419355</v>
      </c>
      <c r="I62" s="468">
        <f>G62/SUM($G$42:$G$45)</f>
        <v>0.004376232434</v>
      </c>
      <c r="J62" s="13"/>
      <c r="K62" s="466">
        <f t="shared" ref="K62:M62" si="34">AVERAGE(C62,G62)</f>
        <v>90000</v>
      </c>
      <c r="L62" s="466">
        <f t="shared" si="34"/>
        <v>714.6401985</v>
      </c>
      <c r="M62" s="48">
        <f t="shared" si="34"/>
        <v>0.003326556861</v>
      </c>
      <c r="N62" s="13"/>
      <c r="O62" s="13"/>
      <c r="P62" s="13"/>
      <c r="Q62" s="13"/>
      <c r="R62" s="13"/>
      <c r="S62" s="13"/>
      <c r="T62" s="13"/>
      <c r="U62" s="13"/>
      <c r="V62" s="13"/>
      <c r="W62" s="13"/>
      <c r="X62" s="13"/>
      <c r="Y62" s="13"/>
      <c r="Z62" s="13"/>
    </row>
    <row r="63" ht="15.75" customHeight="1">
      <c r="A63" s="13"/>
      <c r="B63" s="13" t="s">
        <v>740</v>
      </c>
      <c r="C63" s="465">
        <v>1166665.0</v>
      </c>
      <c r="D63" s="465">
        <f t="shared" si="35"/>
        <v>8974.346154</v>
      </c>
      <c r="E63" s="464"/>
      <c r="F63" s="17"/>
      <c r="G63" s="465">
        <v>925000.0</v>
      </c>
      <c r="H63" s="466">
        <f t="shared" si="36"/>
        <v>7459.677419</v>
      </c>
      <c r="I63" s="13"/>
      <c r="J63" s="13"/>
      <c r="K63" s="466">
        <f t="shared" ref="K63:L63" si="37">AVERAGE(C63,G63)</f>
        <v>1045832.5</v>
      </c>
      <c r="L63" s="466">
        <f t="shared" si="37"/>
        <v>8217.011787</v>
      </c>
      <c r="M63" s="13"/>
      <c r="N63" s="13"/>
      <c r="O63" s="13"/>
      <c r="P63" s="13"/>
      <c r="Q63" s="13"/>
      <c r="R63" s="13"/>
      <c r="S63" s="13"/>
      <c r="T63" s="13"/>
      <c r="U63" s="13"/>
      <c r="V63" s="13"/>
      <c r="W63" s="13"/>
      <c r="X63" s="13"/>
      <c r="Y63" s="13"/>
      <c r="Z63" s="13"/>
    </row>
    <row r="64" ht="15.75" customHeight="1">
      <c r="A64" s="13"/>
      <c r="B64" s="13" t="s">
        <v>741</v>
      </c>
      <c r="C64" s="465">
        <v>213052.0</v>
      </c>
      <c r="D64" s="465">
        <f t="shared" si="35"/>
        <v>1638.861538</v>
      </c>
      <c r="E64" s="464"/>
      <c r="F64" s="17"/>
      <c r="G64" s="465">
        <v>70000.0</v>
      </c>
      <c r="H64" s="466">
        <f t="shared" si="36"/>
        <v>564.516129</v>
      </c>
      <c r="I64" s="13"/>
      <c r="J64" s="13"/>
      <c r="K64" s="466">
        <f t="shared" ref="K64:L64" si="38">AVERAGE(C64,G64)</f>
        <v>141526</v>
      </c>
      <c r="L64" s="466">
        <f t="shared" si="38"/>
        <v>1101.688834</v>
      </c>
      <c r="M64" s="13"/>
      <c r="N64" s="13"/>
      <c r="O64" s="13"/>
      <c r="P64" s="13"/>
      <c r="Q64" s="13"/>
      <c r="R64" s="13"/>
      <c r="S64" s="13"/>
      <c r="T64" s="13"/>
      <c r="U64" s="13"/>
      <c r="V64" s="13"/>
      <c r="W64" s="13"/>
      <c r="X64" s="13"/>
      <c r="Y64" s="13"/>
      <c r="Z64" s="13"/>
    </row>
    <row r="65" ht="15.75" customHeight="1">
      <c r="A65" s="13"/>
      <c r="B65" s="13" t="s">
        <v>742</v>
      </c>
      <c r="C65" s="465">
        <v>50000.0</v>
      </c>
      <c r="D65" s="465">
        <f t="shared" si="35"/>
        <v>384.6153846</v>
      </c>
      <c r="E65" s="464"/>
      <c r="F65" s="17"/>
      <c r="G65" s="465">
        <v>75000.0</v>
      </c>
      <c r="H65" s="466">
        <f t="shared" si="36"/>
        <v>604.8387097</v>
      </c>
      <c r="I65" s="13"/>
      <c r="J65" s="13"/>
      <c r="K65" s="466">
        <f t="shared" ref="K65:L65" si="39">AVERAGE(C65,G65)</f>
        <v>62500</v>
      </c>
      <c r="L65" s="466">
        <f t="shared" si="39"/>
        <v>494.7270471</v>
      </c>
      <c r="M65" s="13"/>
      <c r="N65" s="13"/>
      <c r="O65" s="13"/>
      <c r="P65" s="13"/>
      <c r="Q65" s="13"/>
      <c r="R65" s="13"/>
      <c r="S65" s="13"/>
      <c r="T65" s="13"/>
      <c r="U65" s="13"/>
      <c r="V65" s="13"/>
      <c r="W65" s="13"/>
      <c r="X65" s="13"/>
      <c r="Y65" s="13"/>
      <c r="Z65" s="13"/>
    </row>
    <row r="66" ht="15.75" customHeight="1">
      <c r="A66" s="13"/>
      <c r="B66" s="13" t="s">
        <v>743</v>
      </c>
      <c r="C66" s="465">
        <v>89021.0</v>
      </c>
      <c r="D66" s="465">
        <f t="shared" si="35"/>
        <v>684.7769231</v>
      </c>
      <c r="E66" s="464"/>
      <c r="F66" s="17"/>
      <c r="G66" s="465">
        <v>200000.0</v>
      </c>
      <c r="H66" s="466">
        <f t="shared" si="36"/>
        <v>1612.903226</v>
      </c>
      <c r="I66" s="13"/>
      <c r="J66" s="13"/>
      <c r="K66" s="466">
        <f t="shared" ref="K66:L66" si="40">AVERAGE(C66,G66)</f>
        <v>144510.5</v>
      </c>
      <c r="L66" s="466">
        <f t="shared" si="40"/>
        <v>1148.840074</v>
      </c>
      <c r="M66" s="13"/>
      <c r="N66" s="13"/>
      <c r="O66" s="13"/>
      <c r="P66" s="13"/>
      <c r="Q66" s="13"/>
      <c r="R66" s="13"/>
      <c r="S66" s="13"/>
      <c r="T66" s="13"/>
      <c r="U66" s="13"/>
      <c r="V66" s="13"/>
      <c r="W66" s="13"/>
      <c r="X66" s="13"/>
      <c r="Y66" s="13"/>
      <c r="Z66" s="13"/>
    </row>
    <row r="67" ht="15.75" customHeight="1">
      <c r="A67" s="13"/>
      <c r="B67" s="13" t="s">
        <v>744</v>
      </c>
      <c r="C67" s="465">
        <v>0.0</v>
      </c>
      <c r="D67" s="465">
        <f t="shared" si="35"/>
        <v>0</v>
      </c>
      <c r="E67" s="464"/>
      <c r="F67" s="17"/>
      <c r="G67" s="465">
        <v>50000.0</v>
      </c>
      <c r="H67" s="466">
        <f t="shared" si="36"/>
        <v>403.2258065</v>
      </c>
      <c r="I67" s="13"/>
      <c r="J67" s="13"/>
      <c r="K67" s="466">
        <f t="shared" ref="K67:L67" si="41">AVERAGE(C67,G67)</f>
        <v>25000</v>
      </c>
      <c r="L67" s="466">
        <f t="shared" si="41"/>
        <v>201.6129032</v>
      </c>
      <c r="M67" s="13"/>
      <c r="N67" s="13"/>
      <c r="O67" s="13"/>
      <c r="P67" s="13"/>
      <c r="Q67" s="13"/>
      <c r="R67" s="13"/>
      <c r="S67" s="13"/>
      <c r="T67" s="13"/>
      <c r="U67" s="13"/>
      <c r="V67" s="13"/>
      <c r="W67" s="13"/>
      <c r="X67" s="13"/>
      <c r="Y67" s="13"/>
      <c r="Z67" s="13"/>
    </row>
    <row r="68" ht="15.75" customHeight="1">
      <c r="A68" s="13"/>
      <c r="B68" s="13" t="s">
        <v>745</v>
      </c>
      <c r="C68" s="465">
        <v>15000.0</v>
      </c>
      <c r="D68" s="465">
        <f t="shared" si="35"/>
        <v>115.3846154</v>
      </c>
      <c r="E68" s="464"/>
      <c r="F68" s="17"/>
      <c r="G68" s="465">
        <v>0.0</v>
      </c>
      <c r="H68" s="466">
        <f t="shared" si="36"/>
        <v>0</v>
      </c>
      <c r="I68" s="13"/>
      <c r="J68" s="13"/>
      <c r="K68" s="466">
        <f t="shared" ref="K68:L68" si="42">AVERAGE(C68,G68)</f>
        <v>7500</v>
      </c>
      <c r="L68" s="466">
        <f t="shared" si="42"/>
        <v>57.69230769</v>
      </c>
      <c r="M68" s="13"/>
      <c r="N68" s="13"/>
      <c r="O68" s="13"/>
      <c r="P68" s="13"/>
      <c r="Q68" s="13"/>
      <c r="R68" s="13"/>
      <c r="S68" s="13"/>
      <c r="T68" s="13"/>
      <c r="U68" s="13"/>
      <c r="V68" s="13"/>
      <c r="W68" s="13"/>
      <c r="X68" s="13"/>
      <c r="Y68" s="13"/>
      <c r="Z68" s="13"/>
    </row>
    <row r="69" ht="15.75" customHeight="1">
      <c r="A69" s="13"/>
      <c r="B69" s="13"/>
      <c r="C69" s="465"/>
      <c r="D69" s="17"/>
      <c r="E69" s="464"/>
      <c r="F69" s="17"/>
      <c r="G69" s="465"/>
      <c r="H69" s="13"/>
      <c r="I69" s="13"/>
      <c r="J69" s="13"/>
      <c r="K69" s="13"/>
      <c r="L69" s="13"/>
      <c r="M69" s="13"/>
      <c r="N69" s="13"/>
      <c r="O69" s="13"/>
      <c r="P69" s="13"/>
      <c r="Q69" s="13"/>
      <c r="R69" s="13"/>
      <c r="S69" s="13"/>
      <c r="T69" s="13"/>
      <c r="U69" s="13"/>
      <c r="V69" s="13"/>
      <c r="W69" s="13"/>
      <c r="X69" s="13"/>
      <c r="Y69" s="13"/>
      <c r="Z69" s="13"/>
    </row>
    <row r="70" ht="15.75" customHeight="1">
      <c r="A70" s="13"/>
      <c r="B70" s="15" t="s">
        <v>746</v>
      </c>
      <c r="C70" s="465"/>
      <c r="D70" s="17"/>
      <c r="E70" s="464"/>
      <c r="F70" s="17"/>
      <c r="G70" s="465"/>
      <c r="H70" s="13"/>
      <c r="I70" s="13"/>
      <c r="J70" s="13"/>
      <c r="K70" s="13"/>
      <c r="L70" s="13"/>
      <c r="M70" s="13"/>
      <c r="N70" s="13"/>
      <c r="O70" s="13"/>
      <c r="P70" s="13"/>
      <c r="Q70" s="13"/>
      <c r="R70" s="13"/>
      <c r="S70" s="13"/>
      <c r="T70" s="13"/>
      <c r="U70" s="13"/>
      <c r="V70" s="13"/>
      <c r="W70" s="13"/>
      <c r="X70" s="13"/>
      <c r="Y70" s="13"/>
      <c r="Z70" s="13"/>
    </row>
    <row r="71" ht="15.75" customHeight="1">
      <c r="A71" s="13"/>
      <c r="B71" s="13" t="s">
        <v>747</v>
      </c>
      <c r="C71" s="465">
        <v>0.0</v>
      </c>
      <c r="D71" s="465">
        <f t="shared" ref="D71:D74" si="44">C71/$C$34</f>
        <v>0</v>
      </c>
      <c r="E71" s="464"/>
      <c r="F71" s="17"/>
      <c r="G71" s="465">
        <v>0.0</v>
      </c>
      <c r="H71" s="466">
        <f t="shared" ref="H71:H74" si="45">G71/$G$34</f>
        <v>0</v>
      </c>
      <c r="I71" s="13"/>
      <c r="J71" s="13"/>
      <c r="K71" s="466">
        <f t="shared" ref="K71:L71" si="43">AVERAGE(C71,G71)</f>
        <v>0</v>
      </c>
      <c r="L71" s="466">
        <f t="shared" si="43"/>
        <v>0</v>
      </c>
      <c r="M71" s="13"/>
      <c r="N71" s="13"/>
      <c r="O71" s="13"/>
      <c r="P71" s="13"/>
      <c r="Q71" s="13"/>
      <c r="R71" s="13"/>
      <c r="S71" s="13"/>
      <c r="T71" s="13"/>
      <c r="U71" s="13"/>
      <c r="V71" s="13"/>
      <c r="W71" s="13"/>
      <c r="X71" s="13"/>
      <c r="Y71" s="13"/>
      <c r="Z71" s="13"/>
    </row>
    <row r="72" ht="15.75" customHeight="1">
      <c r="A72" s="13"/>
      <c r="B72" s="13" t="s">
        <v>124</v>
      </c>
      <c r="C72" s="465">
        <v>178159.0</v>
      </c>
      <c r="D72" s="465">
        <f t="shared" si="44"/>
        <v>1370.453846</v>
      </c>
      <c r="E72" s="464"/>
      <c r="F72" s="17"/>
      <c r="G72" s="465">
        <v>122500.0</v>
      </c>
      <c r="H72" s="466">
        <f t="shared" si="45"/>
        <v>987.9032258</v>
      </c>
      <c r="I72" s="13"/>
      <c r="J72" s="13"/>
      <c r="K72" s="466">
        <f t="shared" ref="K72:L72" si="46">AVERAGE(C72,G72)</f>
        <v>150329.5</v>
      </c>
      <c r="L72" s="466">
        <f t="shared" si="46"/>
        <v>1179.178536</v>
      </c>
      <c r="M72" s="13"/>
      <c r="N72" s="13"/>
      <c r="O72" s="13"/>
      <c r="P72" s="13"/>
      <c r="Q72" s="13"/>
      <c r="R72" s="13"/>
      <c r="S72" s="13"/>
      <c r="T72" s="13"/>
      <c r="U72" s="13"/>
      <c r="V72" s="13"/>
      <c r="W72" s="13"/>
      <c r="X72" s="13"/>
      <c r="Y72" s="13"/>
      <c r="Z72" s="13"/>
    </row>
    <row r="73" ht="15.75" customHeight="1">
      <c r="A73" s="13"/>
      <c r="B73" s="13" t="s">
        <v>748</v>
      </c>
      <c r="C73" s="465">
        <v>0.0</v>
      </c>
      <c r="D73" s="465">
        <f t="shared" si="44"/>
        <v>0</v>
      </c>
      <c r="E73" s="464"/>
      <c r="F73" s="17"/>
      <c r="G73" s="465">
        <v>28000.0</v>
      </c>
      <c r="H73" s="466">
        <f t="shared" si="45"/>
        <v>225.8064516</v>
      </c>
      <c r="I73" s="13"/>
      <c r="J73" s="13"/>
      <c r="K73" s="466">
        <f t="shared" ref="K73:L73" si="47">AVERAGE(C73,G73)</f>
        <v>14000</v>
      </c>
      <c r="L73" s="466">
        <f t="shared" si="47"/>
        <v>112.9032258</v>
      </c>
      <c r="M73" s="13"/>
      <c r="N73" s="13"/>
      <c r="O73" s="13"/>
      <c r="P73" s="13"/>
      <c r="Q73" s="13"/>
      <c r="R73" s="13"/>
      <c r="S73" s="13"/>
      <c r="T73" s="13"/>
      <c r="U73" s="13"/>
      <c r="V73" s="13"/>
      <c r="W73" s="13"/>
      <c r="X73" s="13"/>
      <c r="Y73" s="13"/>
      <c r="Z73" s="13"/>
    </row>
    <row r="74" ht="15.75" customHeight="1">
      <c r="A74" s="13"/>
      <c r="B74" s="13" t="s">
        <v>749</v>
      </c>
      <c r="C74" s="465">
        <v>50000.0</v>
      </c>
      <c r="D74" s="465">
        <f t="shared" si="44"/>
        <v>384.6153846</v>
      </c>
      <c r="E74" s="464"/>
      <c r="F74" s="17"/>
      <c r="G74" s="465">
        <v>0.0</v>
      </c>
      <c r="H74" s="466">
        <f t="shared" si="45"/>
        <v>0</v>
      </c>
      <c r="I74" s="13"/>
      <c r="J74" s="13"/>
      <c r="K74" s="466">
        <f t="shared" ref="K74:L74" si="48">AVERAGE(C74,G74)</f>
        <v>25000</v>
      </c>
      <c r="L74" s="466">
        <f t="shared" si="48"/>
        <v>192.3076923</v>
      </c>
      <c r="M74" s="13"/>
      <c r="N74" s="13"/>
      <c r="O74" s="13"/>
      <c r="P74" s="13"/>
      <c r="Q74" s="13"/>
      <c r="R74" s="13"/>
      <c r="S74" s="13"/>
      <c r="T74" s="13"/>
      <c r="U74" s="13"/>
      <c r="V74" s="13"/>
      <c r="W74" s="13"/>
      <c r="X74" s="13"/>
      <c r="Y74" s="13"/>
      <c r="Z74" s="13"/>
    </row>
    <row r="75" ht="15.75" customHeight="1">
      <c r="A75" s="13"/>
      <c r="B75" s="13"/>
      <c r="C75" s="465"/>
      <c r="D75" s="17"/>
      <c r="E75" s="464"/>
      <c r="F75" s="17"/>
      <c r="G75" s="465"/>
      <c r="H75" s="13"/>
      <c r="I75" s="13"/>
      <c r="J75" s="13"/>
      <c r="K75" s="13"/>
      <c r="L75" s="13"/>
      <c r="M75" s="13"/>
      <c r="N75" s="13"/>
      <c r="O75" s="13"/>
      <c r="P75" s="13"/>
      <c r="Q75" s="13"/>
      <c r="R75" s="13"/>
      <c r="S75" s="13"/>
      <c r="T75" s="13"/>
      <c r="U75" s="13"/>
      <c r="V75" s="13"/>
      <c r="W75" s="13"/>
      <c r="X75" s="13"/>
      <c r="Y75" s="13"/>
      <c r="Z75" s="13"/>
    </row>
    <row r="76" ht="15.75" customHeight="1">
      <c r="A76" s="13"/>
      <c r="B76" s="15" t="s">
        <v>750</v>
      </c>
      <c r="C76" s="465"/>
      <c r="D76" s="17"/>
      <c r="E76" s="464"/>
      <c r="F76" s="17"/>
      <c r="G76" s="465"/>
      <c r="H76" s="13"/>
      <c r="I76" s="13"/>
      <c r="J76" s="13"/>
      <c r="K76" s="13"/>
      <c r="L76" s="13"/>
      <c r="M76" s="13"/>
      <c r="N76" s="13"/>
      <c r="O76" s="13"/>
      <c r="P76" s="13"/>
      <c r="Q76" s="13"/>
      <c r="R76" s="13"/>
      <c r="S76" s="13"/>
      <c r="T76" s="13"/>
      <c r="U76" s="13"/>
      <c r="V76" s="13"/>
      <c r="W76" s="13"/>
      <c r="X76" s="13"/>
      <c r="Y76" s="13"/>
      <c r="Z76" s="13"/>
    </row>
    <row r="77" ht="15.75" customHeight="1">
      <c r="A77" s="13"/>
      <c r="B77" s="13" t="s">
        <v>130</v>
      </c>
      <c r="C77" s="465">
        <v>7500.0</v>
      </c>
      <c r="D77" s="465">
        <f t="shared" ref="D77:D92" si="50">C77/$C$34</f>
        <v>57.69230769</v>
      </c>
      <c r="E77" s="464"/>
      <c r="F77" s="17"/>
      <c r="G77" s="465">
        <v>10000.0</v>
      </c>
      <c r="H77" s="466">
        <f t="shared" ref="H77:H92" si="51">G77/$G$34</f>
        <v>80.64516129</v>
      </c>
      <c r="I77" s="13"/>
      <c r="J77" s="13"/>
      <c r="K77" s="466">
        <f t="shared" ref="K77:L77" si="49">AVERAGE(C77,G77)</f>
        <v>8750</v>
      </c>
      <c r="L77" s="466">
        <f t="shared" si="49"/>
        <v>69.16873449</v>
      </c>
      <c r="M77" s="13"/>
      <c r="N77" s="13"/>
      <c r="O77" s="13"/>
      <c r="P77" s="13"/>
      <c r="Q77" s="13"/>
      <c r="R77" s="13"/>
      <c r="S77" s="13"/>
      <c r="T77" s="13"/>
      <c r="U77" s="13"/>
      <c r="V77" s="13"/>
      <c r="W77" s="13"/>
      <c r="X77" s="13"/>
      <c r="Y77" s="13"/>
      <c r="Z77" s="13"/>
    </row>
    <row r="78" ht="15.75" customHeight="1">
      <c r="A78" s="13"/>
      <c r="B78" s="13" t="s">
        <v>131</v>
      </c>
      <c r="C78" s="465">
        <v>7500.0</v>
      </c>
      <c r="D78" s="465">
        <f t="shared" si="50"/>
        <v>57.69230769</v>
      </c>
      <c r="E78" s="464"/>
      <c r="F78" s="17"/>
      <c r="G78" s="465">
        <v>7000.0</v>
      </c>
      <c r="H78" s="466">
        <f t="shared" si="51"/>
        <v>56.4516129</v>
      </c>
      <c r="I78" s="13"/>
      <c r="J78" s="13"/>
      <c r="K78" s="466">
        <f t="shared" ref="K78:L78" si="52">AVERAGE(C78,G78)</f>
        <v>7250</v>
      </c>
      <c r="L78" s="466">
        <f t="shared" si="52"/>
        <v>57.0719603</v>
      </c>
      <c r="M78" s="13"/>
      <c r="N78" s="13"/>
      <c r="O78" s="13"/>
      <c r="P78" s="13"/>
      <c r="Q78" s="13"/>
      <c r="R78" s="13"/>
      <c r="S78" s="13"/>
      <c r="T78" s="13"/>
      <c r="U78" s="13"/>
      <c r="V78" s="13"/>
      <c r="W78" s="13"/>
      <c r="X78" s="13"/>
      <c r="Y78" s="13"/>
      <c r="Z78" s="13"/>
    </row>
    <row r="79" ht="15.75" customHeight="1">
      <c r="A79" s="13"/>
      <c r="B79" s="13" t="s">
        <v>751</v>
      </c>
      <c r="C79" s="465">
        <v>15000.0</v>
      </c>
      <c r="D79" s="465">
        <f t="shared" si="50"/>
        <v>115.3846154</v>
      </c>
      <c r="E79" s="464"/>
      <c r="F79" s="17"/>
      <c r="G79" s="465">
        <v>10000.0</v>
      </c>
      <c r="H79" s="466">
        <f t="shared" si="51"/>
        <v>80.64516129</v>
      </c>
      <c r="I79" s="13"/>
      <c r="J79" s="13"/>
      <c r="K79" s="466">
        <f t="shared" ref="K79:L79" si="53">AVERAGE(C79,G79)</f>
        <v>12500</v>
      </c>
      <c r="L79" s="466">
        <f t="shared" si="53"/>
        <v>98.01488834</v>
      </c>
      <c r="M79" s="13"/>
      <c r="N79" s="13"/>
      <c r="O79" s="13"/>
      <c r="P79" s="13"/>
      <c r="Q79" s="13"/>
      <c r="R79" s="13"/>
      <c r="S79" s="13"/>
      <c r="T79" s="13"/>
      <c r="U79" s="13"/>
      <c r="V79" s="13"/>
      <c r="W79" s="13"/>
      <c r="X79" s="13"/>
      <c r="Y79" s="13"/>
      <c r="Z79" s="13"/>
    </row>
    <row r="80" ht="15.75" customHeight="1">
      <c r="A80" s="13"/>
      <c r="B80" s="13" t="s">
        <v>752</v>
      </c>
      <c r="C80" s="465">
        <v>15000.0</v>
      </c>
      <c r="D80" s="465">
        <f t="shared" si="50"/>
        <v>115.3846154</v>
      </c>
      <c r="E80" s="464"/>
      <c r="F80" s="17"/>
      <c r="G80" s="465">
        <v>6400.0</v>
      </c>
      <c r="H80" s="466">
        <f t="shared" si="51"/>
        <v>51.61290323</v>
      </c>
      <c r="I80" s="13"/>
      <c r="J80" s="13"/>
      <c r="K80" s="466">
        <f t="shared" ref="K80:L80" si="54">AVERAGE(C80,G80)</f>
        <v>10700</v>
      </c>
      <c r="L80" s="466">
        <f t="shared" si="54"/>
        <v>83.49875931</v>
      </c>
      <c r="M80" s="13"/>
      <c r="N80" s="13"/>
      <c r="O80" s="13"/>
      <c r="P80" s="13"/>
      <c r="Q80" s="13"/>
      <c r="R80" s="13"/>
      <c r="S80" s="13"/>
      <c r="T80" s="13"/>
      <c r="U80" s="13"/>
      <c r="V80" s="13"/>
      <c r="W80" s="13"/>
      <c r="X80" s="13"/>
      <c r="Y80" s="13"/>
      <c r="Z80" s="13"/>
    </row>
    <row r="81" ht="15.75" customHeight="1">
      <c r="A81" s="13"/>
      <c r="B81" s="13" t="s">
        <v>117</v>
      </c>
      <c r="C81" s="465">
        <v>75000.0</v>
      </c>
      <c r="D81" s="465">
        <f t="shared" si="50"/>
        <v>576.9230769</v>
      </c>
      <c r="E81" s="464"/>
      <c r="F81" s="17"/>
      <c r="G81" s="465">
        <v>0.0</v>
      </c>
      <c r="H81" s="466">
        <f t="shared" si="51"/>
        <v>0</v>
      </c>
      <c r="I81" s="13"/>
      <c r="J81" s="13"/>
      <c r="K81" s="466">
        <f t="shared" ref="K81:L81" si="55">AVERAGE(C81,G81)</f>
        <v>37500</v>
      </c>
      <c r="L81" s="466">
        <f t="shared" si="55"/>
        <v>288.4615385</v>
      </c>
      <c r="M81" s="13"/>
      <c r="N81" s="13"/>
      <c r="O81" s="13"/>
      <c r="P81" s="13"/>
      <c r="Q81" s="13"/>
      <c r="R81" s="13"/>
      <c r="S81" s="13"/>
      <c r="T81" s="13"/>
      <c r="U81" s="13"/>
      <c r="V81" s="13"/>
      <c r="W81" s="13"/>
      <c r="X81" s="13"/>
      <c r="Y81" s="13"/>
      <c r="Z81" s="13"/>
    </row>
    <row r="82" ht="15.75" customHeight="1">
      <c r="A82" s="13"/>
      <c r="B82" s="13" t="s">
        <v>753</v>
      </c>
      <c r="C82" s="465">
        <v>50000.0</v>
      </c>
      <c r="D82" s="465">
        <f t="shared" si="50"/>
        <v>384.6153846</v>
      </c>
      <c r="E82" s="464"/>
      <c r="F82" s="17"/>
      <c r="G82" s="465">
        <v>25000.0</v>
      </c>
      <c r="H82" s="466">
        <f t="shared" si="51"/>
        <v>201.6129032</v>
      </c>
      <c r="I82" s="13"/>
      <c r="J82" s="13"/>
      <c r="K82" s="466">
        <f t="shared" ref="K82:L82" si="56">AVERAGE(C82,G82)</f>
        <v>37500</v>
      </c>
      <c r="L82" s="466">
        <f t="shared" si="56"/>
        <v>293.1141439</v>
      </c>
      <c r="M82" s="13"/>
      <c r="N82" s="13"/>
      <c r="O82" s="13"/>
      <c r="P82" s="13"/>
      <c r="Q82" s="13"/>
      <c r="R82" s="13"/>
      <c r="S82" s="13"/>
      <c r="T82" s="13"/>
      <c r="U82" s="13"/>
      <c r="V82" s="13"/>
      <c r="W82" s="13"/>
      <c r="X82" s="13"/>
      <c r="Y82" s="13"/>
      <c r="Z82" s="13"/>
    </row>
    <row r="83" ht="15.75" customHeight="1">
      <c r="A83" s="13"/>
      <c r="B83" s="13" t="s">
        <v>754</v>
      </c>
      <c r="C83" s="465">
        <v>159317.0</v>
      </c>
      <c r="D83" s="465">
        <f t="shared" si="50"/>
        <v>1225.515385</v>
      </c>
      <c r="E83" s="464"/>
      <c r="F83" s="17"/>
      <c r="G83" s="465">
        <v>2500.0</v>
      </c>
      <c r="H83" s="466">
        <f t="shared" si="51"/>
        <v>20.16129032</v>
      </c>
      <c r="I83" s="13"/>
      <c r="J83" s="13"/>
      <c r="K83" s="466">
        <f t="shared" ref="K83:L83" si="57">AVERAGE(C83,G83)</f>
        <v>80908.5</v>
      </c>
      <c r="L83" s="466">
        <f t="shared" si="57"/>
        <v>622.8383375</v>
      </c>
      <c r="M83" s="13"/>
      <c r="N83" s="13"/>
      <c r="O83" s="13"/>
      <c r="P83" s="13"/>
      <c r="Q83" s="13"/>
      <c r="R83" s="13"/>
      <c r="S83" s="13"/>
      <c r="T83" s="13"/>
      <c r="U83" s="13"/>
      <c r="V83" s="13"/>
      <c r="W83" s="13"/>
      <c r="X83" s="13"/>
      <c r="Y83" s="13"/>
      <c r="Z83" s="13"/>
    </row>
    <row r="84" ht="15.75" customHeight="1">
      <c r="A84" s="13"/>
      <c r="B84" s="13" t="s">
        <v>755</v>
      </c>
      <c r="C84" s="465">
        <v>35000.0</v>
      </c>
      <c r="D84" s="465">
        <f t="shared" si="50"/>
        <v>269.2307692</v>
      </c>
      <c r="E84" s="464"/>
      <c r="F84" s="17"/>
      <c r="G84" s="465">
        <v>0.0</v>
      </c>
      <c r="H84" s="466">
        <f t="shared" si="51"/>
        <v>0</v>
      </c>
      <c r="I84" s="13"/>
      <c r="J84" s="13"/>
      <c r="K84" s="466">
        <f t="shared" ref="K84:L84" si="58">AVERAGE(C84,G84)</f>
        <v>17500</v>
      </c>
      <c r="L84" s="466">
        <f t="shared" si="58"/>
        <v>134.6153846</v>
      </c>
      <c r="M84" s="13"/>
      <c r="N84" s="13"/>
      <c r="O84" s="13"/>
      <c r="P84" s="13"/>
      <c r="Q84" s="13"/>
      <c r="R84" s="13"/>
      <c r="S84" s="13"/>
      <c r="T84" s="13"/>
      <c r="U84" s="13"/>
      <c r="V84" s="13"/>
      <c r="W84" s="13"/>
      <c r="X84" s="13"/>
      <c r="Y84" s="13"/>
      <c r="Z84" s="13"/>
    </row>
    <row r="85" ht="15.75" customHeight="1">
      <c r="A85" s="13"/>
      <c r="B85" s="13" t="s">
        <v>756</v>
      </c>
      <c r="C85" s="465">
        <v>0.0</v>
      </c>
      <c r="D85" s="465">
        <f t="shared" si="50"/>
        <v>0</v>
      </c>
      <c r="E85" s="464"/>
      <c r="F85" s="17"/>
      <c r="G85" s="465">
        <v>241000.0</v>
      </c>
      <c r="H85" s="466">
        <f t="shared" si="51"/>
        <v>1943.548387</v>
      </c>
      <c r="I85" s="13"/>
      <c r="J85" s="13"/>
      <c r="K85" s="466">
        <f t="shared" ref="K85:L85" si="59">AVERAGE(C85,G85)</f>
        <v>120500</v>
      </c>
      <c r="L85" s="466">
        <f t="shared" si="59"/>
        <v>971.7741935</v>
      </c>
      <c r="M85" s="13"/>
      <c r="N85" s="13"/>
      <c r="O85" s="13"/>
      <c r="P85" s="13"/>
      <c r="Q85" s="13"/>
      <c r="R85" s="13"/>
      <c r="S85" s="13"/>
      <c r="T85" s="13"/>
      <c r="U85" s="13"/>
      <c r="V85" s="13"/>
      <c r="W85" s="13"/>
      <c r="X85" s="13"/>
      <c r="Y85" s="13"/>
      <c r="Z85" s="13"/>
    </row>
    <row r="86" ht="15.75" customHeight="1">
      <c r="A86" s="13"/>
      <c r="B86" s="13" t="s">
        <v>757</v>
      </c>
      <c r="C86" s="465">
        <v>59875.0</v>
      </c>
      <c r="D86" s="465">
        <f t="shared" si="50"/>
        <v>460.5769231</v>
      </c>
      <c r="E86" s="464"/>
      <c r="F86" s="17"/>
      <c r="G86" s="465">
        <v>15000.0</v>
      </c>
      <c r="H86" s="466">
        <f t="shared" si="51"/>
        <v>120.9677419</v>
      </c>
      <c r="I86" s="13"/>
      <c r="J86" s="13"/>
      <c r="K86" s="466">
        <f t="shared" ref="K86:L86" si="60">AVERAGE(C86,G86)</f>
        <v>37437.5</v>
      </c>
      <c r="L86" s="466">
        <f t="shared" si="60"/>
        <v>290.7723325</v>
      </c>
      <c r="M86" s="13"/>
      <c r="N86" s="13"/>
      <c r="O86" s="13"/>
      <c r="P86" s="13"/>
      <c r="Q86" s="13"/>
      <c r="R86" s="13"/>
      <c r="S86" s="13"/>
      <c r="T86" s="13"/>
      <c r="U86" s="13"/>
      <c r="V86" s="13"/>
      <c r="W86" s="13"/>
      <c r="X86" s="13"/>
      <c r="Y86" s="13"/>
      <c r="Z86" s="13"/>
    </row>
    <row r="87" ht="15.75" customHeight="1">
      <c r="A87" s="13"/>
      <c r="B87" s="13" t="s">
        <v>125</v>
      </c>
      <c r="C87" s="465">
        <v>40000.0</v>
      </c>
      <c r="D87" s="465">
        <f t="shared" si="50"/>
        <v>307.6923077</v>
      </c>
      <c r="E87" s="464"/>
      <c r="F87" s="17"/>
      <c r="G87" s="465">
        <v>25000.0</v>
      </c>
      <c r="H87" s="466">
        <f t="shared" si="51"/>
        <v>201.6129032</v>
      </c>
      <c r="I87" s="13"/>
      <c r="J87" s="13"/>
      <c r="K87" s="466">
        <f t="shared" ref="K87:L87" si="61">AVERAGE(C87,G87)</f>
        <v>32500</v>
      </c>
      <c r="L87" s="466">
        <f t="shared" si="61"/>
        <v>254.6526055</v>
      </c>
      <c r="M87" s="13"/>
      <c r="N87" s="13"/>
      <c r="O87" s="13"/>
      <c r="P87" s="13"/>
      <c r="Q87" s="13"/>
      <c r="R87" s="13"/>
      <c r="S87" s="13"/>
      <c r="T87" s="13"/>
      <c r="U87" s="13"/>
      <c r="V87" s="13"/>
      <c r="W87" s="13"/>
      <c r="X87" s="13"/>
      <c r="Y87" s="13"/>
      <c r="Z87" s="13"/>
    </row>
    <row r="88" ht="15.75" customHeight="1">
      <c r="A88" s="13"/>
      <c r="B88" s="13" t="s">
        <v>758</v>
      </c>
      <c r="C88" s="465">
        <v>0.0</v>
      </c>
      <c r="D88" s="465">
        <f t="shared" si="50"/>
        <v>0</v>
      </c>
      <c r="E88" s="464"/>
      <c r="F88" s="17"/>
      <c r="G88" s="465">
        <v>0.0</v>
      </c>
      <c r="H88" s="466">
        <f t="shared" si="51"/>
        <v>0</v>
      </c>
      <c r="I88" s="13"/>
      <c r="J88" s="13"/>
      <c r="K88" s="466">
        <f t="shared" ref="K88:L88" si="62">AVERAGE(C88,G88)</f>
        <v>0</v>
      </c>
      <c r="L88" s="466">
        <f t="shared" si="62"/>
        <v>0</v>
      </c>
      <c r="M88" s="13"/>
      <c r="N88" s="13"/>
      <c r="O88" s="13"/>
      <c r="P88" s="13"/>
      <c r="Q88" s="13"/>
      <c r="R88" s="13"/>
      <c r="S88" s="13"/>
      <c r="T88" s="13"/>
      <c r="U88" s="13"/>
      <c r="V88" s="13"/>
      <c r="W88" s="13"/>
      <c r="X88" s="13"/>
      <c r="Y88" s="13"/>
      <c r="Z88" s="13"/>
    </row>
    <row r="89" ht="15.75" customHeight="1">
      <c r="A89" s="13"/>
      <c r="B89" s="13" t="s">
        <v>759</v>
      </c>
      <c r="C89" s="465">
        <v>0.0</v>
      </c>
      <c r="D89" s="465">
        <f t="shared" si="50"/>
        <v>0</v>
      </c>
      <c r="E89" s="464"/>
      <c r="F89" s="17"/>
      <c r="G89" s="465">
        <v>0.0</v>
      </c>
      <c r="H89" s="466">
        <f t="shared" si="51"/>
        <v>0</v>
      </c>
      <c r="I89" s="13"/>
      <c r="J89" s="13"/>
      <c r="K89" s="466">
        <f t="shared" ref="K89:L89" si="63">AVERAGE(C89,G89)</f>
        <v>0</v>
      </c>
      <c r="L89" s="466">
        <f t="shared" si="63"/>
        <v>0</v>
      </c>
      <c r="M89" s="13"/>
      <c r="N89" s="13"/>
      <c r="O89" s="13"/>
      <c r="P89" s="13"/>
      <c r="Q89" s="13"/>
      <c r="R89" s="13"/>
      <c r="S89" s="13"/>
      <c r="T89" s="13"/>
      <c r="U89" s="13"/>
      <c r="V89" s="13"/>
      <c r="W89" s="13"/>
      <c r="X89" s="13"/>
      <c r="Y89" s="13"/>
      <c r="Z89" s="13"/>
    </row>
    <row r="90" ht="15.75" customHeight="1">
      <c r="A90" s="13"/>
      <c r="B90" s="13" t="s">
        <v>760</v>
      </c>
      <c r="C90" s="465">
        <v>0.0</v>
      </c>
      <c r="D90" s="465">
        <f t="shared" si="50"/>
        <v>0</v>
      </c>
      <c r="E90" s="464"/>
      <c r="F90" s="17"/>
      <c r="G90" s="465">
        <v>0.0</v>
      </c>
      <c r="H90" s="466">
        <f t="shared" si="51"/>
        <v>0</v>
      </c>
      <c r="I90" s="13"/>
      <c r="J90" s="13"/>
      <c r="K90" s="466">
        <f t="shared" ref="K90:L90" si="64">AVERAGE(C90,G90)</f>
        <v>0</v>
      </c>
      <c r="L90" s="466">
        <f t="shared" si="64"/>
        <v>0</v>
      </c>
      <c r="M90" s="13"/>
      <c r="N90" s="13"/>
      <c r="O90" s="13"/>
      <c r="P90" s="13"/>
      <c r="Q90" s="13"/>
      <c r="R90" s="13"/>
      <c r="S90" s="13"/>
      <c r="T90" s="13"/>
      <c r="U90" s="13"/>
      <c r="V90" s="13"/>
      <c r="W90" s="13"/>
      <c r="X90" s="13"/>
      <c r="Y90" s="13"/>
      <c r="Z90" s="13"/>
    </row>
    <row r="91" ht="15.75" customHeight="1">
      <c r="A91" s="13"/>
      <c r="B91" s="13" t="s">
        <v>266</v>
      </c>
      <c r="C91" s="465">
        <v>95000.0</v>
      </c>
      <c r="D91" s="465">
        <f t="shared" si="50"/>
        <v>730.7692308</v>
      </c>
      <c r="E91" s="464"/>
      <c r="F91" s="17"/>
      <c r="G91" s="465">
        <v>100000.0</v>
      </c>
      <c r="H91" s="466">
        <f t="shared" si="51"/>
        <v>806.4516129</v>
      </c>
      <c r="I91" s="13"/>
      <c r="J91" s="13"/>
      <c r="K91" s="466">
        <f t="shared" ref="K91:L91" si="65">AVERAGE(C91,G91)</f>
        <v>97500</v>
      </c>
      <c r="L91" s="466">
        <f t="shared" si="65"/>
        <v>768.6104218</v>
      </c>
      <c r="M91" s="13"/>
      <c r="N91" s="13"/>
      <c r="O91" s="13"/>
      <c r="P91" s="13"/>
      <c r="Q91" s="13"/>
      <c r="R91" s="13"/>
      <c r="S91" s="13"/>
      <c r="T91" s="13"/>
      <c r="U91" s="13"/>
      <c r="V91" s="13"/>
      <c r="W91" s="13"/>
      <c r="X91" s="13"/>
      <c r="Y91" s="13"/>
      <c r="Z91" s="13"/>
    </row>
    <row r="92" ht="15.75" customHeight="1">
      <c r="A92" s="13"/>
      <c r="B92" s="13" t="s">
        <v>128</v>
      </c>
      <c r="C92" s="465">
        <v>31793.0</v>
      </c>
      <c r="D92" s="465">
        <f t="shared" si="50"/>
        <v>244.5615385</v>
      </c>
      <c r="E92" s="469">
        <f>C92/SUM(C77:C91)</f>
        <v>0.05685524829</v>
      </c>
      <c r="F92" s="17"/>
      <c r="G92" s="465">
        <v>0.0</v>
      </c>
      <c r="H92" s="466">
        <f t="shared" si="51"/>
        <v>0</v>
      </c>
      <c r="I92" s="464"/>
      <c r="J92" s="13"/>
      <c r="K92" s="466">
        <f t="shared" ref="K92:L92" si="66">AVERAGE(C92,G92)</f>
        <v>15896.5</v>
      </c>
      <c r="L92" s="466">
        <f t="shared" si="66"/>
        <v>122.2807692</v>
      </c>
      <c r="M92" s="13"/>
      <c r="N92" s="13"/>
      <c r="O92" s="13"/>
      <c r="P92" s="13"/>
      <c r="Q92" s="13"/>
      <c r="R92" s="13"/>
      <c r="S92" s="13"/>
      <c r="T92" s="13"/>
      <c r="U92" s="13"/>
      <c r="V92" s="13"/>
      <c r="W92" s="13"/>
      <c r="X92" s="13"/>
      <c r="Y92" s="13"/>
      <c r="Z92" s="13"/>
    </row>
    <row r="93" ht="15.75" customHeight="1">
      <c r="A93" s="13"/>
      <c r="B93" s="13"/>
      <c r="C93" s="465"/>
      <c r="D93" s="17"/>
      <c r="E93" s="464"/>
      <c r="F93" s="17"/>
      <c r="G93" s="465"/>
      <c r="H93" s="13"/>
      <c r="I93" s="13"/>
      <c r="J93" s="13"/>
      <c r="K93" s="13"/>
      <c r="L93" s="13"/>
      <c r="M93" s="13"/>
      <c r="N93" s="13"/>
      <c r="O93" s="13"/>
      <c r="P93" s="13"/>
      <c r="Q93" s="13"/>
      <c r="R93" s="13"/>
      <c r="S93" s="13"/>
      <c r="T93" s="13"/>
      <c r="U93" s="13"/>
      <c r="V93" s="13"/>
      <c r="W93" s="13"/>
      <c r="X93" s="13"/>
      <c r="Y93" s="13"/>
      <c r="Z93" s="13"/>
    </row>
    <row r="94" ht="15.75" customHeight="1">
      <c r="A94" s="13"/>
      <c r="B94" s="15" t="s">
        <v>761</v>
      </c>
      <c r="C94" s="465"/>
      <c r="D94" s="17"/>
      <c r="E94" s="464"/>
      <c r="F94" s="17"/>
      <c r="G94" s="465"/>
      <c r="H94" s="13"/>
      <c r="I94" s="13"/>
      <c r="J94" s="13"/>
      <c r="K94" s="13"/>
      <c r="L94" s="13"/>
      <c r="M94" s="13"/>
      <c r="N94" s="13"/>
      <c r="O94" s="13"/>
      <c r="P94" s="13"/>
      <c r="Q94" s="13"/>
      <c r="R94" s="13"/>
      <c r="S94" s="13"/>
      <c r="T94" s="13"/>
      <c r="U94" s="13"/>
      <c r="V94" s="13"/>
      <c r="W94" s="13"/>
      <c r="X94" s="13"/>
      <c r="Y94" s="13"/>
      <c r="Z94" s="13"/>
    </row>
    <row r="95" ht="15.75" customHeight="1">
      <c r="A95" s="13"/>
      <c r="B95" s="13" t="s">
        <v>762</v>
      </c>
      <c r="C95" s="465"/>
      <c r="D95" s="465">
        <f t="shared" ref="D95:D101" si="68">C95/$C$34</f>
        <v>0</v>
      </c>
      <c r="E95" s="464"/>
      <c r="F95" s="17"/>
      <c r="G95" s="465">
        <v>0.0</v>
      </c>
      <c r="H95" s="466">
        <f t="shared" ref="H95:H101" si="69">G95/$G$34</f>
        <v>0</v>
      </c>
      <c r="I95" s="13"/>
      <c r="J95" s="13"/>
      <c r="K95" s="466">
        <f t="shared" ref="K95:L95" si="67">AVERAGE(C95,G95)</f>
        <v>0</v>
      </c>
      <c r="L95" s="466">
        <f t="shared" si="67"/>
        <v>0</v>
      </c>
      <c r="M95" s="13"/>
      <c r="N95" s="13"/>
      <c r="O95" s="13"/>
      <c r="P95" s="13"/>
      <c r="Q95" s="13"/>
      <c r="R95" s="13"/>
      <c r="S95" s="13"/>
      <c r="T95" s="13"/>
      <c r="U95" s="13"/>
      <c r="V95" s="13"/>
      <c r="W95" s="13"/>
      <c r="X95" s="13"/>
      <c r="Y95" s="13"/>
      <c r="Z95" s="13"/>
    </row>
    <row r="96" ht="15.75" customHeight="1">
      <c r="A96" s="13"/>
      <c r="B96" s="13" t="s">
        <v>763</v>
      </c>
      <c r="C96" s="465">
        <v>50000.0</v>
      </c>
      <c r="D96" s="465">
        <f t="shared" si="68"/>
        <v>384.6153846</v>
      </c>
      <c r="E96" s="464"/>
      <c r="F96" s="17"/>
      <c r="G96" s="465">
        <v>2000.0</v>
      </c>
      <c r="H96" s="466">
        <f t="shared" si="69"/>
        <v>16.12903226</v>
      </c>
      <c r="I96" s="13"/>
      <c r="J96" s="13"/>
      <c r="K96" s="466">
        <f t="shared" ref="K96:L96" si="70">AVERAGE(C96,G96)</f>
        <v>26000</v>
      </c>
      <c r="L96" s="466">
        <f t="shared" si="70"/>
        <v>200.3722084</v>
      </c>
      <c r="M96" s="13"/>
      <c r="N96" s="13"/>
      <c r="O96" s="13"/>
      <c r="P96" s="13"/>
      <c r="Q96" s="13"/>
      <c r="R96" s="13"/>
      <c r="S96" s="13"/>
      <c r="T96" s="13"/>
      <c r="U96" s="13"/>
      <c r="V96" s="13"/>
      <c r="W96" s="13"/>
      <c r="X96" s="13"/>
      <c r="Y96" s="13"/>
      <c r="Z96" s="13"/>
    </row>
    <row r="97" ht="15.75" customHeight="1">
      <c r="A97" s="13"/>
      <c r="B97" s="13" t="s">
        <v>764</v>
      </c>
      <c r="C97" s="465"/>
      <c r="D97" s="465">
        <f t="shared" si="68"/>
        <v>0</v>
      </c>
      <c r="E97" s="464"/>
      <c r="F97" s="17"/>
      <c r="G97" s="465">
        <v>10000.0</v>
      </c>
      <c r="H97" s="466">
        <f t="shared" si="69"/>
        <v>80.64516129</v>
      </c>
      <c r="I97" s="13"/>
      <c r="J97" s="13"/>
      <c r="K97" s="466">
        <f t="shared" ref="K97:L97" si="71">AVERAGE(C97,G97)</f>
        <v>10000</v>
      </c>
      <c r="L97" s="466">
        <f t="shared" si="71"/>
        <v>40.32258065</v>
      </c>
      <c r="M97" s="13"/>
      <c r="N97" s="13"/>
      <c r="O97" s="13"/>
      <c r="P97" s="13"/>
      <c r="Q97" s="13"/>
      <c r="R97" s="13"/>
      <c r="S97" s="13"/>
      <c r="T97" s="13"/>
      <c r="U97" s="13"/>
      <c r="V97" s="13"/>
      <c r="W97" s="13"/>
      <c r="X97" s="13"/>
      <c r="Y97" s="13"/>
      <c r="Z97" s="13"/>
    </row>
    <row r="98" ht="15.75" customHeight="1">
      <c r="A98" s="13"/>
      <c r="B98" s="13" t="s">
        <v>765</v>
      </c>
      <c r="C98" s="465">
        <v>3592852.0</v>
      </c>
      <c r="D98" s="465">
        <f t="shared" si="68"/>
        <v>27637.32308</v>
      </c>
      <c r="E98" s="464"/>
      <c r="F98" s="17"/>
      <c r="G98" s="465">
        <v>4960000.0</v>
      </c>
      <c r="H98" s="466">
        <f t="shared" si="69"/>
        <v>40000</v>
      </c>
      <c r="I98" s="13"/>
      <c r="J98" s="13"/>
      <c r="K98" s="466">
        <f t="shared" ref="K98:L98" si="72">AVERAGE(C98,G98)</f>
        <v>4276426</v>
      </c>
      <c r="L98" s="466">
        <f t="shared" si="72"/>
        <v>33818.66154</v>
      </c>
      <c r="M98" s="13"/>
      <c r="N98" s="13"/>
      <c r="O98" s="13"/>
      <c r="P98" s="13"/>
      <c r="Q98" s="13"/>
      <c r="R98" s="13"/>
      <c r="S98" s="13"/>
      <c r="T98" s="13"/>
      <c r="U98" s="13"/>
      <c r="V98" s="13"/>
      <c r="W98" s="13"/>
      <c r="X98" s="13"/>
      <c r="Y98" s="13"/>
      <c r="Z98" s="13"/>
    </row>
    <row r="99" ht="15.75" customHeight="1">
      <c r="A99" s="13"/>
      <c r="B99" s="13" t="s">
        <v>766</v>
      </c>
      <c r="C99" s="465">
        <v>0.0</v>
      </c>
      <c r="D99" s="465">
        <f t="shared" si="68"/>
        <v>0</v>
      </c>
      <c r="E99" s="464"/>
      <c r="F99" s="17"/>
      <c r="G99" s="465">
        <v>0.0</v>
      </c>
      <c r="H99" s="466">
        <f t="shared" si="69"/>
        <v>0</v>
      </c>
      <c r="I99" s="13"/>
      <c r="J99" s="13"/>
      <c r="K99" s="466">
        <f t="shared" ref="K99:L99" si="73">AVERAGE(C99,G99)</f>
        <v>0</v>
      </c>
      <c r="L99" s="466">
        <f t="shared" si="73"/>
        <v>0</v>
      </c>
      <c r="M99" s="13"/>
      <c r="N99" s="13"/>
      <c r="O99" s="13"/>
      <c r="P99" s="13"/>
      <c r="Q99" s="13"/>
      <c r="R99" s="13"/>
      <c r="S99" s="13"/>
      <c r="T99" s="13"/>
      <c r="U99" s="13"/>
      <c r="V99" s="13"/>
      <c r="W99" s="13"/>
      <c r="X99" s="13"/>
      <c r="Y99" s="13"/>
      <c r="Z99" s="13"/>
    </row>
    <row r="100" ht="15.75" customHeight="1">
      <c r="A100" s="13"/>
      <c r="B100" s="13" t="s">
        <v>767</v>
      </c>
      <c r="C100" s="465">
        <v>155625.0</v>
      </c>
      <c r="D100" s="465">
        <f t="shared" si="68"/>
        <v>1197.115385</v>
      </c>
      <c r="E100" s="464"/>
      <c r="F100" s="17"/>
      <c r="G100" s="465">
        <v>0.0</v>
      </c>
      <c r="H100" s="466">
        <f t="shared" si="69"/>
        <v>0</v>
      </c>
      <c r="I100" s="13"/>
      <c r="J100" s="13"/>
      <c r="K100" s="466">
        <f t="shared" ref="K100:L100" si="74">AVERAGE(C100,G100)</f>
        <v>77812.5</v>
      </c>
      <c r="L100" s="466">
        <f t="shared" si="74"/>
        <v>598.5576923</v>
      </c>
      <c r="M100" s="13"/>
      <c r="N100" s="13"/>
      <c r="O100" s="13"/>
      <c r="P100" s="13"/>
      <c r="Q100" s="13"/>
      <c r="R100" s="13"/>
      <c r="S100" s="13"/>
      <c r="T100" s="13"/>
      <c r="U100" s="13"/>
      <c r="V100" s="13"/>
      <c r="W100" s="13"/>
      <c r="X100" s="13"/>
      <c r="Y100" s="13"/>
      <c r="Z100" s="13"/>
    </row>
    <row r="101" ht="15.75" customHeight="1">
      <c r="A101" s="13"/>
      <c r="B101" s="13" t="s">
        <v>56</v>
      </c>
      <c r="C101" s="465">
        <v>0.0</v>
      </c>
      <c r="D101" s="465">
        <f t="shared" si="68"/>
        <v>0</v>
      </c>
      <c r="E101" s="464"/>
      <c r="F101" s="17"/>
      <c r="G101" s="465">
        <v>0.0</v>
      </c>
      <c r="H101" s="466">
        <f t="shared" si="69"/>
        <v>0</v>
      </c>
      <c r="I101" s="13"/>
      <c r="J101" s="13"/>
      <c r="K101" s="466">
        <f t="shared" ref="K101:L101" si="75">AVERAGE(C101,G101)</f>
        <v>0</v>
      </c>
      <c r="L101" s="466">
        <f t="shared" si="75"/>
        <v>0</v>
      </c>
      <c r="M101" s="13"/>
      <c r="N101" s="13"/>
      <c r="O101" s="13"/>
      <c r="P101" s="13"/>
      <c r="Q101" s="13"/>
      <c r="R101" s="13"/>
      <c r="S101" s="13"/>
      <c r="T101" s="13"/>
      <c r="U101" s="13"/>
      <c r="V101" s="13"/>
      <c r="W101" s="13"/>
      <c r="X101" s="13"/>
      <c r="Y101" s="13"/>
      <c r="Z101" s="13"/>
    </row>
    <row r="102" ht="15.75" customHeight="1">
      <c r="A102" s="13"/>
      <c r="B102" s="13"/>
      <c r="C102" s="465"/>
      <c r="D102" s="17"/>
      <c r="E102" s="464"/>
      <c r="F102" s="17"/>
      <c r="G102" s="465"/>
      <c r="H102" s="13"/>
      <c r="I102" s="13"/>
      <c r="J102" s="13"/>
      <c r="K102" s="13"/>
      <c r="L102" s="13"/>
      <c r="M102" s="13"/>
      <c r="N102" s="13"/>
      <c r="O102" s="13"/>
      <c r="P102" s="13"/>
      <c r="Q102" s="13"/>
      <c r="R102" s="13"/>
      <c r="S102" s="13"/>
      <c r="T102" s="13"/>
      <c r="U102" s="13"/>
      <c r="V102" s="13"/>
      <c r="W102" s="13"/>
      <c r="X102" s="13"/>
      <c r="Y102" s="13"/>
      <c r="Z102" s="13"/>
    </row>
    <row r="103" ht="15.75" customHeight="1">
      <c r="A103" s="13"/>
      <c r="B103" s="15" t="s">
        <v>768</v>
      </c>
      <c r="C103" s="465"/>
      <c r="D103" s="17"/>
      <c r="E103" s="464"/>
      <c r="F103" s="17"/>
      <c r="G103" s="465"/>
      <c r="H103" s="13"/>
      <c r="I103" s="13"/>
      <c r="J103" s="13"/>
      <c r="K103" s="13"/>
      <c r="L103" s="13"/>
      <c r="M103" s="13"/>
      <c r="N103" s="13"/>
      <c r="O103" s="13"/>
      <c r="P103" s="13"/>
      <c r="Q103" s="13"/>
      <c r="R103" s="13"/>
      <c r="S103" s="13"/>
      <c r="T103" s="13"/>
      <c r="U103" s="13"/>
      <c r="V103" s="13"/>
      <c r="W103" s="13"/>
      <c r="X103" s="13"/>
      <c r="Y103" s="13"/>
      <c r="Z103" s="13"/>
    </row>
    <row r="104" ht="15.75" customHeight="1">
      <c r="A104" s="13"/>
      <c r="B104" s="13" t="s">
        <v>769</v>
      </c>
      <c r="C104" s="465">
        <v>40000.0</v>
      </c>
      <c r="D104" s="465">
        <f t="shared" ref="D104:D110" si="77">C104/$C$34</f>
        <v>307.6923077</v>
      </c>
      <c r="E104" s="464"/>
      <c r="F104" s="17"/>
      <c r="G104" s="465">
        <v>50000.0</v>
      </c>
      <c r="H104" s="466">
        <f t="shared" ref="H104:H110" si="78">G104/$G$34</f>
        <v>403.2258065</v>
      </c>
      <c r="I104" s="13"/>
      <c r="J104" s="13"/>
      <c r="K104" s="466">
        <f t="shared" ref="K104:L104" si="76">AVERAGE(C104,G104)</f>
        <v>45000</v>
      </c>
      <c r="L104" s="466">
        <f t="shared" si="76"/>
        <v>355.4590571</v>
      </c>
      <c r="M104" s="13"/>
      <c r="N104" s="13"/>
      <c r="O104" s="13"/>
      <c r="P104" s="13"/>
      <c r="Q104" s="13"/>
      <c r="R104" s="13"/>
      <c r="S104" s="13"/>
      <c r="T104" s="13"/>
      <c r="U104" s="13"/>
      <c r="V104" s="13"/>
      <c r="W104" s="13"/>
      <c r="X104" s="13"/>
      <c r="Y104" s="13"/>
      <c r="Z104" s="13"/>
    </row>
    <row r="105" ht="15.75" customHeight="1">
      <c r="A105" s="13"/>
      <c r="B105" s="13" t="s">
        <v>140</v>
      </c>
      <c r="C105" s="465">
        <v>802278.0</v>
      </c>
      <c r="D105" s="465">
        <f t="shared" si="77"/>
        <v>6171.369231</v>
      </c>
      <c r="E105" s="464"/>
      <c r="F105" s="17"/>
      <c r="G105" s="465">
        <v>766967.0</v>
      </c>
      <c r="H105" s="466">
        <f t="shared" si="78"/>
        <v>6185.217742</v>
      </c>
      <c r="I105" s="13"/>
      <c r="J105" s="13"/>
      <c r="K105" s="466">
        <f t="shared" ref="K105:L105" si="79">AVERAGE(C105,G105)</f>
        <v>784622.5</v>
      </c>
      <c r="L105" s="466">
        <f t="shared" si="79"/>
        <v>6178.293486</v>
      </c>
      <c r="M105" s="13"/>
      <c r="N105" s="13"/>
      <c r="O105" s="13"/>
      <c r="P105" s="13"/>
      <c r="Q105" s="13"/>
      <c r="R105" s="13"/>
      <c r="S105" s="13"/>
      <c r="T105" s="13"/>
      <c r="U105" s="13"/>
      <c r="V105" s="13"/>
      <c r="W105" s="13"/>
      <c r="X105" s="13"/>
      <c r="Y105" s="13"/>
      <c r="Z105" s="13"/>
    </row>
    <row r="106" ht="15.75" customHeight="1">
      <c r="A106" s="13"/>
      <c r="B106" s="13" t="s">
        <v>141</v>
      </c>
      <c r="C106" s="465">
        <v>0.0</v>
      </c>
      <c r="D106" s="465">
        <f t="shared" si="77"/>
        <v>0</v>
      </c>
      <c r="E106" s="464"/>
      <c r="F106" s="17"/>
      <c r="G106" s="465">
        <v>0.0</v>
      </c>
      <c r="H106" s="466">
        <f t="shared" si="78"/>
        <v>0</v>
      </c>
      <c r="I106" s="13"/>
      <c r="J106" s="13"/>
      <c r="K106" s="466">
        <f t="shared" ref="K106:L106" si="80">AVERAGE(C106,G106)</f>
        <v>0</v>
      </c>
      <c r="L106" s="466">
        <f t="shared" si="80"/>
        <v>0</v>
      </c>
      <c r="M106" s="13"/>
      <c r="N106" s="13"/>
      <c r="O106" s="13"/>
      <c r="P106" s="13"/>
      <c r="Q106" s="13"/>
      <c r="R106" s="13"/>
      <c r="S106" s="13"/>
      <c r="T106" s="13"/>
      <c r="U106" s="13"/>
      <c r="V106" s="13"/>
      <c r="W106" s="13"/>
      <c r="X106" s="13"/>
      <c r="Y106" s="13"/>
      <c r="Z106" s="13"/>
    </row>
    <row r="107" ht="15.75" customHeight="1">
      <c r="A107" s="13"/>
      <c r="B107" s="13" t="s">
        <v>770</v>
      </c>
      <c r="C107" s="465">
        <v>0.0</v>
      </c>
      <c r="D107" s="465">
        <f t="shared" si="77"/>
        <v>0</v>
      </c>
      <c r="E107" s="464"/>
      <c r="F107" s="17"/>
      <c r="G107" s="465">
        <v>0.0</v>
      </c>
      <c r="H107" s="466">
        <f t="shared" si="78"/>
        <v>0</v>
      </c>
      <c r="I107" s="13"/>
      <c r="J107" s="13"/>
      <c r="K107" s="466">
        <f t="shared" ref="K107:L107" si="81">AVERAGE(C107,G107)</f>
        <v>0</v>
      </c>
      <c r="L107" s="466">
        <f t="shared" si="81"/>
        <v>0</v>
      </c>
      <c r="M107" s="13"/>
      <c r="N107" s="13"/>
      <c r="O107" s="13"/>
      <c r="P107" s="13"/>
      <c r="Q107" s="13"/>
      <c r="R107" s="13"/>
      <c r="S107" s="13"/>
      <c r="T107" s="13"/>
      <c r="U107" s="13"/>
      <c r="V107" s="13"/>
      <c r="W107" s="13"/>
      <c r="X107" s="13"/>
      <c r="Y107" s="13"/>
      <c r="Z107" s="13"/>
    </row>
    <row r="108" ht="15.75" customHeight="1">
      <c r="A108" s="13"/>
      <c r="B108" s="13" t="s">
        <v>771</v>
      </c>
      <c r="C108" s="465"/>
      <c r="D108" s="465">
        <f t="shared" si="77"/>
        <v>0</v>
      </c>
      <c r="E108" s="464"/>
      <c r="F108" s="17"/>
      <c r="G108" s="465">
        <v>0.0</v>
      </c>
      <c r="H108" s="466">
        <f t="shared" si="78"/>
        <v>0</v>
      </c>
      <c r="I108" s="13"/>
      <c r="J108" s="13"/>
      <c r="K108" s="466">
        <f t="shared" ref="K108:L108" si="82">AVERAGE(C108,G108)</f>
        <v>0</v>
      </c>
      <c r="L108" s="466">
        <f t="shared" si="82"/>
        <v>0</v>
      </c>
      <c r="M108" s="13"/>
      <c r="N108" s="13"/>
      <c r="O108" s="13"/>
      <c r="P108" s="13"/>
      <c r="Q108" s="13"/>
      <c r="R108" s="13"/>
      <c r="S108" s="13"/>
      <c r="T108" s="13"/>
      <c r="U108" s="13"/>
      <c r="V108" s="13"/>
      <c r="W108" s="13"/>
      <c r="X108" s="13"/>
      <c r="Y108" s="13"/>
      <c r="Z108" s="13"/>
    </row>
    <row r="109" ht="15.75" customHeight="1">
      <c r="A109" s="13"/>
      <c r="B109" s="13" t="s">
        <v>772</v>
      </c>
      <c r="C109" s="465">
        <v>0.0</v>
      </c>
      <c r="D109" s="465">
        <f t="shared" si="77"/>
        <v>0</v>
      </c>
      <c r="E109" s="464"/>
      <c r="F109" s="17"/>
      <c r="G109" s="465">
        <v>0.0</v>
      </c>
      <c r="H109" s="466">
        <f t="shared" si="78"/>
        <v>0</v>
      </c>
      <c r="I109" s="13"/>
      <c r="J109" s="13"/>
      <c r="K109" s="466">
        <f t="shared" ref="K109:L109" si="83">AVERAGE(C109,G109)</f>
        <v>0</v>
      </c>
      <c r="L109" s="466">
        <f t="shared" si="83"/>
        <v>0</v>
      </c>
      <c r="M109" s="13"/>
      <c r="N109" s="13"/>
      <c r="O109" s="13"/>
      <c r="P109" s="13"/>
      <c r="Q109" s="13"/>
      <c r="R109" s="13"/>
      <c r="S109" s="13"/>
      <c r="T109" s="13"/>
      <c r="U109" s="13"/>
      <c r="V109" s="13"/>
      <c r="W109" s="13"/>
      <c r="X109" s="13"/>
      <c r="Y109" s="13"/>
      <c r="Z109" s="13"/>
    </row>
    <row r="110" ht="15.75" customHeight="1">
      <c r="A110" s="13"/>
      <c r="B110" s="13" t="s">
        <v>56</v>
      </c>
      <c r="C110" s="465">
        <v>0.0</v>
      </c>
      <c r="D110" s="465">
        <f t="shared" si="77"/>
        <v>0</v>
      </c>
      <c r="E110" s="464"/>
      <c r="F110" s="131" t="s">
        <v>773</v>
      </c>
      <c r="G110" s="465">
        <v>100000.0</v>
      </c>
      <c r="H110" s="466">
        <f t="shared" si="78"/>
        <v>806.4516129</v>
      </c>
      <c r="I110" s="13"/>
      <c r="J110" s="13"/>
      <c r="K110" s="466">
        <f t="shared" ref="K110:L110" si="84">AVERAGE(C110,G110)</f>
        <v>50000</v>
      </c>
      <c r="L110" s="466">
        <f t="shared" si="84"/>
        <v>403.2258065</v>
      </c>
      <c r="M110" s="13"/>
      <c r="N110" s="13"/>
      <c r="O110" s="13"/>
      <c r="P110" s="13"/>
      <c r="Q110" s="13"/>
      <c r="R110" s="13"/>
      <c r="S110" s="13"/>
      <c r="T110" s="13"/>
      <c r="U110" s="13"/>
      <c r="V110" s="13"/>
      <c r="W110" s="13"/>
      <c r="X110" s="13"/>
      <c r="Y110" s="13"/>
      <c r="Z110" s="13"/>
    </row>
    <row r="111" ht="15.75" customHeight="1">
      <c r="A111" s="13"/>
      <c r="B111" s="182"/>
      <c r="C111" s="470"/>
      <c r="D111" s="471"/>
      <c r="E111" s="464"/>
      <c r="F111" s="17"/>
      <c r="G111" s="470"/>
      <c r="H111" s="182"/>
      <c r="I111" s="13"/>
      <c r="J111" s="13"/>
      <c r="K111" s="182"/>
      <c r="L111" s="182"/>
      <c r="M111" s="13"/>
      <c r="N111" s="13"/>
      <c r="O111" s="13"/>
      <c r="P111" s="13"/>
      <c r="Q111" s="13"/>
      <c r="R111" s="13"/>
      <c r="S111" s="13"/>
      <c r="T111" s="13"/>
      <c r="U111" s="13"/>
      <c r="V111" s="13"/>
      <c r="W111" s="13"/>
      <c r="X111" s="13"/>
      <c r="Y111" s="13"/>
      <c r="Z111" s="13"/>
    </row>
    <row r="112" ht="15.75" customHeight="1">
      <c r="A112" s="13"/>
      <c r="B112" s="15" t="s">
        <v>774</v>
      </c>
      <c r="C112" s="472">
        <f>SUM(C37:C110)</f>
        <v>35828064</v>
      </c>
      <c r="D112" s="472">
        <f>C112/$C$34</f>
        <v>275600.4923</v>
      </c>
      <c r="E112" s="464"/>
      <c r="F112" s="17"/>
      <c r="G112" s="472">
        <f>SUM(G37:G110)</f>
        <v>40412756</v>
      </c>
      <c r="H112" s="473">
        <f>G112/$G$34</f>
        <v>325909.3226</v>
      </c>
      <c r="I112" s="13"/>
      <c r="J112" s="13"/>
      <c r="K112" s="473">
        <f t="shared" ref="K112:L112" si="85">AVERAGE(C112,G112)</f>
        <v>38120410</v>
      </c>
      <c r="L112" s="473">
        <f t="shared" si="85"/>
        <v>300754.9074</v>
      </c>
      <c r="M112" s="13"/>
      <c r="N112" s="13"/>
      <c r="O112" s="13"/>
      <c r="P112" s="13"/>
      <c r="Q112" s="13"/>
      <c r="R112" s="13"/>
      <c r="S112" s="13"/>
      <c r="T112" s="13"/>
      <c r="U112" s="13"/>
      <c r="V112" s="13"/>
      <c r="W112" s="13"/>
      <c r="X112" s="13"/>
      <c r="Y112" s="13"/>
      <c r="Z112" s="13"/>
    </row>
    <row r="113" ht="15.75" customHeight="1">
      <c r="A113" s="13"/>
      <c r="B113" s="13"/>
      <c r="C113" s="17"/>
      <c r="D113" s="17"/>
      <c r="E113" s="17"/>
      <c r="F113" s="17"/>
      <c r="G113" s="13"/>
      <c r="H113" s="13"/>
      <c r="I113" s="13"/>
      <c r="J113" s="13"/>
      <c r="K113" s="13"/>
      <c r="L113" s="13"/>
      <c r="M113" s="13"/>
      <c r="N113" s="13"/>
      <c r="O113" s="13"/>
      <c r="P113" s="13"/>
      <c r="Q113" s="13"/>
      <c r="R113" s="13"/>
      <c r="S113" s="13"/>
      <c r="T113" s="13"/>
      <c r="U113" s="13"/>
      <c r="V113" s="13"/>
      <c r="W113" s="13"/>
      <c r="X113" s="13"/>
      <c r="Y113" s="13"/>
      <c r="Z113" s="13"/>
    </row>
    <row r="114" ht="15.75" customHeight="1">
      <c r="A114" s="13"/>
      <c r="B114" s="13"/>
      <c r="C114" s="17"/>
      <c r="D114" s="17"/>
      <c r="E114" s="17"/>
      <c r="F114" s="17"/>
      <c r="G114" s="13"/>
      <c r="H114" s="13"/>
      <c r="I114" s="13"/>
      <c r="J114" s="13"/>
      <c r="K114" s="13"/>
      <c r="L114" s="13"/>
      <c r="M114" s="13"/>
      <c r="N114" s="13"/>
      <c r="O114" s="13"/>
      <c r="P114" s="13"/>
      <c r="Q114" s="13"/>
      <c r="R114" s="13"/>
      <c r="S114" s="13"/>
      <c r="T114" s="13"/>
      <c r="U114" s="13"/>
      <c r="V114" s="13"/>
      <c r="W114" s="13"/>
      <c r="X114" s="13"/>
      <c r="Y114" s="13"/>
      <c r="Z114" s="13"/>
    </row>
    <row r="115" ht="15.75" customHeight="1">
      <c r="A115" s="13"/>
      <c r="B115" s="13"/>
      <c r="C115" s="17"/>
      <c r="D115" s="17"/>
      <c r="E115" s="17"/>
      <c r="F115" s="17"/>
      <c r="G115" s="13"/>
      <c r="H115" s="13"/>
      <c r="I115" s="13"/>
      <c r="J115" s="13"/>
      <c r="K115" s="13"/>
      <c r="L115" s="13"/>
      <c r="M115" s="13"/>
      <c r="N115" s="13"/>
      <c r="O115" s="13"/>
      <c r="P115" s="13"/>
      <c r="Q115" s="13"/>
      <c r="R115" s="13"/>
      <c r="S115" s="13"/>
      <c r="T115" s="13"/>
      <c r="U115" s="13"/>
      <c r="V115" s="13"/>
      <c r="W115" s="13"/>
      <c r="X115" s="13"/>
      <c r="Y115" s="13"/>
      <c r="Z115" s="13"/>
    </row>
    <row r="116" ht="15.75" customHeight="1">
      <c r="A116" s="13"/>
      <c r="B116" s="13"/>
      <c r="C116" s="17"/>
      <c r="D116" s="17"/>
      <c r="E116" s="17"/>
      <c r="F116" s="17"/>
      <c r="G116" s="13"/>
      <c r="H116" s="13"/>
      <c r="I116" s="13"/>
      <c r="J116" s="13"/>
      <c r="K116" s="13"/>
      <c r="L116" s="13"/>
      <c r="M116" s="13"/>
      <c r="N116" s="13"/>
      <c r="O116" s="13"/>
      <c r="P116" s="13"/>
      <c r="Q116" s="13"/>
      <c r="R116" s="13"/>
      <c r="S116" s="13"/>
      <c r="T116" s="13"/>
      <c r="U116" s="13"/>
      <c r="V116" s="13"/>
      <c r="W116" s="13"/>
      <c r="X116" s="13"/>
      <c r="Y116" s="13"/>
      <c r="Z116" s="13"/>
    </row>
    <row r="117" ht="15.75" customHeight="1">
      <c r="A117" s="13"/>
      <c r="B117" s="13"/>
      <c r="C117" s="17"/>
      <c r="D117" s="17"/>
      <c r="E117" s="17"/>
      <c r="F117" s="17"/>
      <c r="G117" s="13"/>
      <c r="H117" s="13"/>
      <c r="I117" s="13"/>
      <c r="J117" s="13"/>
      <c r="K117" s="13"/>
      <c r="L117" s="13"/>
      <c r="M117" s="13"/>
      <c r="N117" s="13"/>
      <c r="O117" s="13"/>
      <c r="P117" s="13"/>
      <c r="Q117" s="13"/>
      <c r="R117" s="13"/>
      <c r="S117" s="13"/>
      <c r="T117" s="13"/>
      <c r="U117" s="13"/>
      <c r="V117" s="13"/>
      <c r="W117" s="13"/>
      <c r="X117" s="13"/>
      <c r="Y117" s="13"/>
      <c r="Z117" s="13"/>
    </row>
    <row r="118" ht="15.75" customHeight="1">
      <c r="A118" s="13"/>
      <c r="B118" s="13"/>
      <c r="C118" s="17"/>
      <c r="D118" s="17"/>
      <c r="E118" s="17"/>
      <c r="F118" s="17"/>
      <c r="G118" s="13"/>
      <c r="H118" s="13"/>
      <c r="I118" s="13"/>
      <c r="J118" s="13"/>
      <c r="K118" s="13"/>
      <c r="L118" s="13"/>
      <c r="M118" s="13"/>
      <c r="N118" s="13"/>
      <c r="O118" s="13"/>
      <c r="P118" s="13"/>
      <c r="Q118" s="13"/>
      <c r="R118" s="13"/>
      <c r="S118" s="13"/>
      <c r="T118" s="13"/>
      <c r="U118" s="13"/>
      <c r="V118" s="13"/>
      <c r="W118" s="13"/>
      <c r="X118" s="13"/>
      <c r="Y118" s="13"/>
      <c r="Z118" s="13"/>
    </row>
    <row r="119" ht="15.75" customHeight="1">
      <c r="A119" s="13"/>
      <c r="B119" s="13"/>
      <c r="C119" s="17"/>
      <c r="D119" s="17"/>
      <c r="E119" s="17"/>
      <c r="F119" s="17"/>
      <c r="G119" s="13"/>
      <c r="H119" s="13"/>
      <c r="I119" s="13"/>
      <c r="J119" s="13"/>
      <c r="K119" s="13"/>
      <c r="L119" s="13"/>
      <c r="M119" s="13"/>
      <c r="N119" s="13"/>
      <c r="O119" s="13"/>
      <c r="P119" s="13"/>
      <c r="Q119" s="13"/>
      <c r="R119" s="13"/>
      <c r="S119" s="13"/>
      <c r="T119" s="13"/>
      <c r="U119" s="13"/>
      <c r="V119" s="13"/>
      <c r="W119" s="13"/>
      <c r="X119" s="13"/>
      <c r="Y119" s="13"/>
      <c r="Z119" s="13"/>
    </row>
    <row r="120" ht="15.75" customHeight="1">
      <c r="A120" s="13"/>
      <c r="B120" s="13"/>
      <c r="C120" s="17"/>
      <c r="D120" s="17"/>
      <c r="E120" s="17"/>
      <c r="F120" s="17"/>
      <c r="G120" s="13"/>
      <c r="H120" s="13"/>
      <c r="I120" s="13"/>
      <c r="J120" s="13"/>
      <c r="K120" s="13"/>
      <c r="L120" s="13"/>
      <c r="M120" s="13"/>
      <c r="N120" s="13"/>
      <c r="O120" s="13"/>
      <c r="P120" s="13"/>
      <c r="Q120" s="13"/>
      <c r="R120" s="13"/>
      <c r="S120" s="13"/>
      <c r="T120" s="13"/>
      <c r="U120" s="13"/>
      <c r="V120" s="13"/>
      <c r="W120" s="13"/>
      <c r="X120" s="13"/>
      <c r="Y120" s="13"/>
      <c r="Z120" s="13"/>
    </row>
    <row r="121" ht="15.75" customHeight="1">
      <c r="A121" s="13"/>
      <c r="B121" s="13"/>
      <c r="C121" s="17"/>
      <c r="D121" s="17"/>
      <c r="E121" s="17"/>
      <c r="F121" s="17"/>
      <c r="G121" s="13"/>
      <c r="H121" s="13"/>
      <c r="I121" s="13"/>
      <c r="J121" s="13"/>
      <c r="K121" s="13"/>
      <c r="L121" s="13"/>
      <c r="M121" s="13"/>
      <c r="N121" s="13"/>
      <c r="O121" s="13"/>
      <c r="P121" s="13"/>
      <c r="Q121" s="13"/>
      <c r="R121" s="13"/>
      <c r="S121" s="13"/>
      <c r="T121" s="13"/>
      <c r="U121" s="13"/>
      <c r="V121" s="13"/>
      <c r="W121" s="13"/>
      <c r="X121" s="13"/>
      <c r="Y121" s="13"/>
      <c r="Z121" s="13"/>
    </row>
    <row r="122" ht="15.75" customHeight="1">
      <c r="A122" s="13"/>
      <c r="B122" s="13"/>
      <c r="C122" s="17"/>
      <c r="D122" s="17"/>
      <c r="E122" s="17"/>
      <c r="F122" s="17"/>
      <c r="G122" s="13"/>
      <c r="H122" s="13"/>
      <c r="I122" s="13"/>
      <c r="J122" s="13"/>
      <c r="K122" s="13"/>
      <c r="L122" s="13"/>
      <c r="M122" s="13"/>
      <c r="N122" s="13"/>
      <c r="O122" s="13"/>
      <c r="P122" s="13"/>
      <c r="Q122" s="13"/>
      <c r="R122" s="13"/>
      <c r="S122" s="13"/>
      <c r="T122" s="13"/>
      <c r="U122" s="13"/>
      <c r="V122" s="13"/>
      <c r="W122" s="13"/>
      <c r="X122" s="13"/>
      <c r="Y122" s="13"/>
      <c r="Z122" s="13"/>
    </row>
    <row r="123" ht="15.75" customHeight="1">
      <c r="A123" s="13"/>
      <c r="B123" s="13"/>
      <c r="C123" s="17"/>
      <c r="D123" s="17"/>
      <c r="E123" s="17"/>
      <c r="F123" s="17"/>
      <c r="G123" s="13"/>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13"/>
      <c r="C124" s="17"/>
      <c r="D124" s="17"/>
      <c r="E124" s="17"/>
      <c r="F124" s="17"/>
      <c r="G124" s="13"/>
      <c r="H124" s="13"/>
      <c r="I124" s="13"/>
      <c r="J124" s="13"/>
      <c r="K124" s="13"/>
      <c r="L124" s="13"/>
      <c r="M124" s="13"/>
      <c r="N124" s="13"/>
      <c r="O124" s="13"/>
      <c r="P124" s="13"/>
      <c r="Q124" s="13"/>
      <c r="R124" s="13"/>
      <c r="S124" s="13"/>
      <c r="T124" s="13"/>
      <c r="U124" s="13"/>
      <c r="V124" s="13"/>
      <c r="W124" s="13"/>
      <c r="X124" s="13"/>
      <c r="Y124" s="13"/>
      <c r="Z124" s="13"/>
    </row>
    <row r="125" ht="15.75" customHeight="1">
      <c r="A125" s="13"/>
      <c r="B125" s="13"/>
      <c r="C125" s="17"/>
      <c r="D125" s="17"/>
      <c r="E125" s="17"/>
      <c r="F125" s="17"/>
      <c r="G125" s="13"/>
      <c r="H125" s="13"/>
      <c r="I125" s="13"/>
      <c r="J125" s="13"/>
      <c r="K125" s="13"/>
      <c r="L125" s="13"/>
      <c r="M125" s="13"/>
      <c r="N125" s="13"/>
      <c r="O125" s="13"/>
      <c r="P125" s="13"/>
      <c r="Q125" s="13"/>
      <c r="R125" s="13"/>
      <c r="S125" s="13"/>
      <c r="T125" s="13"/>
      <c r="U125" s="13"/>
      <c r="V125" s="13"/>
      <c r="W125" s="13"/>
      <c r="X125" s="13"/>
      <c r="Y125" s="13"/>
      <c r="Z125" s="13"/>
    </row>
    <row r="126" ht="15.75" customHeight="1">
      <c r="A126" s="13"/>
      <c r="B126" s="13"/>
      <c r="C126" s="17"/>
      <c r="D126" s="17"/>
      <c r="E126" s="17"/>
      <c r="F126" s="17"/>
      <c r="G126" s="13"/>
      <c r="H126" s="13"/>
      <c r="I126" s="13"/>
      <c r="J126" s="13"/>
      <c r="K126" s="13"/>
      <c r="L126" s="13"/>
      <c r="M126" s="13"/>
      <c r="N126" s="13"/>
      <c r="O126" s="13"/>
      <c r="P126" s="13"/>
      <c r="Q126" s="13"/>
      <c r="R126" s="13"/>
      <c r="S126" s="13"/>
      <c r="T126" s="13"/>
      <c r="U126" s="13"/>
      <c r="V126" s="13"/>
      <c r="W126" s="13"/>
      <c r="X126" s="13"/>
      <c r="Y126" s="13"/>
      <c r="Z126" s="13"/>
    </row>
    <row r="127" ht="15.75" customHeight="1">
      <c r="A127" s="13"/>
      <c r="B127" s="13"/>
      <c r="C127" s="17"/>
      <c r="D127" s="17"/>
      <c r="E127" s="17"/>
      <c r="F127" s="17"/>
      <c r="G127" s="13"/>
      <c r="H127" s="13"/>
      <c r="I127" s="13"/>
      <c r="J127" s="13"/>
      <c r="K127" s="13"/>
      <c r="L127" s="13"/>
      <c r="M127" s="13"/>
      <c r="N127" s="13"/>
      <c r="O127" s="13"/>
      <c r="P127" s="13"/>
      <c r="Q127" s="13"/>
      <c r="R127" s="13"/>
      <c r="S127" s="13"/>
      <c r="T127" s="13"/>
      <c r="U127" s="13"/>
      <c r="V127" s="13"/>
      <c r="W127" s="13"/>
      <c r="X127" s="13"/>
      <c r="Y127" s="13"/>
      <c r="Z127" s="13"/>
    </row>
    <row r="128" ht="15.75" customHeight="1">
      <c r="A128" s="13"/>
      <c r="B128" s="13"/>
      <c r="C128" s="17"/>
      <c r="D128" s="17"/>
      <c r="E128" s="17"/>
      <c r="F128" s="17"/>
      <c r="G128" s="13"/>
      <c r="H128" s="13"/>
      <c r="I128" s="13"/>
      <c r="J128" s="13"/>
      <c r="K128" s="13"/>
      <c r="L128" s="13"/>
      <c r="M128" s="13"/>
      <c r="N128" s="13"/>
      <c r="O128" s="13"/>
      <c r="P128" s="13"/>
      <c r="Q128" s="13"/>
      <c r="R128" s="13"/>
      <c r="S128" s="13"/>
      <c r="T128" s="13"/>
      <c r="U128" s="13"/>
      <c r="V128" s="13"/>
      <c r="W128" s="13"/>
      <c r="X128" s="13"/>
      <c r="Y128" s="13"/>
      <c r="Z128" s="13"/>
    </row>
    <row r="129" ht="15.75" customHeight="1">
      <c r="A129" s="13"/>
      <c r="B129" s="13"/>
      <c r="C129" s="17"/>
      <c r="D129" s="17"/>
      <c r="E129" s="17"/>
      <c r="F129" s="17"/>
      <c r="G129" s="13"/>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3"/>
      <c r="C130" s="17"/>
      <c r="D130" s="17"/>
      <c r="E130" s="17"/>
      <c r="F130" s="17"/>
      <c r="G130" s="13"/>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13"/>
      <c r="C131" s="17"/>
      <c r="D131" s="17"/>
      <c r="E131" s="17"/>
      <c r="F131" s="17"/>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13"/>
      <c r="C132" s="17"/>
      <c r="D132" s="17"/>
      <c r="E132" s="17"/>
      <c r="F132" s="17"/>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13"/>
      <c r="C133" s="17"/>
      <c r="D133" s="17"/>
      <c r="E133" s="17"/>
      <c r="F133" s="17"/>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13"/>
      <c r="C134" s="17"/>
      <c r="D134" s="17"/>
      <c r="E134" s="17"/>
      <c r="F134" s="17"/>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13"/>
      <c r="C135" s="17"/>
      <c r="D135" s="17"/>
      <c r="E135" s="17"/>
      <c r="F135" s="17"/>
      <c r="G135" s="13"/>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13"/>
      <c r="C136" s="17"/>
      <c r="D136" s="17"/>
      <c r="E136" s="17"/>
      <c r="F136" s="17"/>
      <c r="G136" s="13"/>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13"/>
      <c r="C137" s="17"/>
      <c r="D137" s="17"/>
      <c r="E137" s="17"/>
      <c r="F137" s="17"/>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3"/>
      <c r="C138" s="17"/>
      <c r="D138" s="17"/>
      <c r="E138" s="17"/>
      <c r="F138" s="17"/>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13"/>
      <c r="C139" s="17"/>
      <c r="D139" s="17"/>
      <c r="E139" s="17"/>
      <c r="F139" s="17"/>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13"/>
      <c r="C140" s="17"/>
      <c r="D140" s="17"/>
      <c r="E140" s="17"/>
      <c r="F140" s="17"/>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13"/>
      <c r="C141" s="17"/>
      <c r="D141" s="17"/>
      <c r="E141" s="17"/>
      <c r="F141" s="17"/>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13"/>
      <c r="C142" s="17"/>
      <c r="D142" s="17"/>
      <c r="E142" s="17"/>
      <c r="F142" s="17"/>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3"/>
      <c r="C143" s="17"/>
      <c r="D143" s="17"/>
      <c r="E143" s="17"/>
      <c r="F143" s="17"/>
      <c r="G143" s="13"/>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13"/>
      <c r="C144" s="17"/>
      <c r="D144" s="17"/>
      <c r="E144" s="17"/>
      <c r="F144" s="17"/>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13"/>
      <c r="C145" s="17"/>
      <c r="D145" s="17"/>
      <c r="E145" s="17"/>
      <c r="F145" s="17"/>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13"/>
      <c r="C146" s="17"/>
      <c r="D146" s="17"/>
      <c r="E146" s="17"/>
      <c r="F146" s="17"/>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13"/>
      <c r="C147" s="17"/>
      <c r="D147" s="17"/>
      <c r="E147" s="17"/>
      <c r="F147" s="17"/>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3"/>
      <c r="C148" s="17"/>
      <c r="D148" s="17"/>
      <c r="E148" s="17"/>
      <c r="F148" s="17"/>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13"/>
      <c r="C149" s="17"/>
      <c r="D149" s="17"/>
      <c r="E149" s="17"/>
      <c r="F149" s="17"/>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13"/>
      <c r="C150" s="17"/>
      <c r="D150" s="17"/>
      <c r="E150" s="17"/>
      <c r="F150" s="17"/>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13"/>
      <c r="C151" s="17"/>
      <c r="D151" s="17"/>
      <c r="E151" s="17"/>
      <c r="F151" s="17"/>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3"/>
      <c r="C152" s="17"/>
      <c r="D152" s="17"/>
      <c r="E152" s="17"/>
      <c r="F152" s="17"/>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13"/>
      <c r="C153" s="17"/>
      <c r="D153" s="17"/>
      <c r="E153" s="17"/>
      <c r="F153" s="17"/>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3"/>
      <c r="C154" s="17"/>
      <c r="D154" s="17"/>
      <c r="E154" s="17"/>
      <c r="F154" s="17"/>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3"/>
      <c r="C155" s="17"/>
      <c r="D155" s="17"/>
      <c r="E155" s="17"/>
      <c r="F155" s="17"/>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c r="C156" s="17"/>
      <c r="D156" s="17"/>
      <c r="E156" s="17"/>
      <c r="F156" s="17"/>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3"/>
      <c r="C157" s="17"/>
      <c r="D157" s="17"/>
      <c r="E157" s="17"/>
      <c r="F157" s="17"/>
      <c r="G157" s="13"/>
      <c r="H157" s="13"/>
      <c r="I157" s="13"/>
      <c r="J157" s="13"/>
      <c r="K157" s="13"/>
      <c r="L157" s="13"/>
      <c r="M157" s="13"/>
      <c r="N157" s="13"/>
      <c r="O157" s="13"/>
      <c r="P157" s="13"/>
      <c r="Q157" s="13"/>
      <c r="R157" s="13"/>
      <c r="S157" s="13"/>
      <c r="T157" s="13"/>
      <c r="U157" s="13"/>
      <c r="V157" s="13"/>
      <c r="W157" s="13"/>
      <c r="X157" s="13"/>
      <c r="Y157" s="13"/>
      <c r="Z157" s="13"/>
    </row>
    <row r="158" ht="15.75" customHeight="1">
      <c r="A158" s="13"/>
      <c r="B158" s="13"/>
      <c r="C158" s="17"/>
      <c r="D158" s="17"/>
      <c r="E158" s="17"/>
      <c r="F158" s="17"/>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3"/>
      <c r="C159" s="17"/>
      <c r="D159" s="17"/>
      <c r="E159" s="17"/>
      <c r="F159" s="17"/>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c r="C160" s="17"/>
      <c r="D160" s="17"/>
      <c r="E160" s="17"/>
      <c r="F160" s="17"/>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c r="C161" s="17"/>
      <c r="D161" s="17"/>
      <c r="E161" s="17"/>
      <c r="F161" s="17"/>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3"/>
      <c r="C162" s="17"/>
      <c r="D162" s="17"/>
      <c r="E162" s="17"/>
      <c r="F162" s="17"/>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3"/>
      <c r="C163" s="17"/>
      <c r="D163" s="17"/>
      <c r="E163" s="17"/>
      <c r="F163" s="17"/>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3"/>
      <c r="C164" s="17"/>
      <c r="D164" s="17"/>
      <c r="E164" s="17"/>
      <c r="F164" s="17"/>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c r="C165" s="17"/>
      <c r="D165" s="17"/>
      <c r="E165" s="17"/>
      <c r="F165" s="17"/>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3"/>
      <c r="C166" s="17"/>
      <c r="D166" s="17"/>
      <c r="E166" s="17"/>
      <c r="F166" s="17"/>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3"/>
      <c r="C167" s="17"/>
      <c r="D167" s="17"/>
      <c r="E167" s="17"/>
      <c r="F167" s="17"/>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c r="C168" s="17"/>
      <c r="D168" s="17"/>
      <c r="E168" s="17"/>
      <c r="F168" s="17"/>
      <c r="G168" s="13"/>
      <c r="H168" s="13"/>
      <c r="I168" s="13"/>
      <c r="J168" s="13"/>
      <c r="K168" s="13"/>
      <c r="L168" s="13"/>
      <c r="M168" s="13"/>
      <c r="N168" s="13"/>
      <c r="O168" s="13"/>
      <c r="P168" s="13"/>
      <c r="Q168" s="13"/>
      <c r="R168" s="13"/>
      <c r="S168" s="13"/>
      <c r="T168" s="13"/>
      <c r="U168" s="13"/>
      <c r="V168" s="13"/>
      <c r="W168" s="13"/>
      <c r="X168" s="13"/>
      <c r="Y168" s="13"/>
      <c r="Z168" s="13"/>
    </row>
    <row r="169" ht="15.75" customHeight="1">
      <c r="A169" s="13"/>
      <c r="B169" s="13"/>
      <c r="C169" s="17"/>
      <c r="D169" s="17"/>
      <c r="E169" s="17"/>
      <c r="F169" s="17"/>
      <c r="G169" s="13"/>
      <c r="H169" s="13"/>
      <c r="I169" s="13"/>
      <c r="J169" s="13"/>
      <c r="K169" s="13"/>
      <c r="L169" s="13"/>
      <c r="M169" s="13"/>
      <c r="N169" s="13"/>
      <c r="O169" s="13"/>
      <c r="P169" s="13"/>
      <c r="Q169" s="13"/>
      <c r="R169" s="13"/>
      <c r="S169" s="13"/>
      <c r="T169" s="13"/>
      <c r="U169" s="13"/>
      <c r="V169" s="13"/>
      <c r="W169" s="13"/>
      <c r="X169" s="13"/>
      <c r="Y169" s="13"/>
      <c r="Z169" s="13"/>
    </row>
    <row r="170" ht="15.75" customHeight="1">
      <c r="A170" s="13"/>
      <c r="B170" s="13"/>
      <c r="C170" s="17"/>
      <c r="D170" s="17"/>
      <c r="E170" s="17"/>
      <c r="F170" s="17"/>
      <c r="G170" s="13"/>
      <c r="H170" s="13"/>
      <c r="I170" s="13"/>
      <c r="J170" s="13"/>
      <c r="K170" s="13"/>
      <c r="L170" s="13"/>
      <c r="M170" s="13"/>
      <c r="N170" s="13"/>
      <c r="O170" s="13"/>
      <c r="P170" s="13"/>
      <c r="Q170" s="13"/>
      <c r="R170" s="13"/>
      <c r="S170" s="13"/>
      <c r="T170" s="13"/>
      <c r="U170" s="13"/>
      <c r="V170" s="13"/>
      <c r="W170" s="13"/>
      <c r="X170" s="13"/>
      <c r="Y170" s="13"/>
      <c r="Z170" s="13"/>
    </row>
    <row r="171" ht="15.75" customHeight="1">
      <c r="A171" s="13"/>
      <c r="B171" s="13"/>
      <c r="C171" s="17"/>
      <c r="D171" s="17"/>
      <c r="E171" s="17"/>
      <c r="F171" s="17"/>
      <c r="G171" s="13"/>
      <c r="H171" s="13"/>
      <c r="I171" s="13"/>
      <c r="J171" s="13"/>
      <c r="K171" s="13"/>
      <c r="L171" s="13"/>
      <c r="M171" s="13"/>
      <c r="N171" s="13"/>
      <c r="O171" s="13"/>
      <c r="P171" s="13"/>
      <c r="Q171" s="13"/>
      <c r="R171" s="13"/>
      <c r="S171" s="13"/>
      <c r="T171" s="13"/>
      <c r="U171" s="13"/>
      <c r="V171" s="13"/>
      <c r="W171" s="13"/>
      <c r="X171" s="13"/>
      <c r="Y171" s="13"/>
      <c r="Z171" s="13"/>
    </row>
    <row r="172" ht="15.75" customHeight="1">
      <c r="A172" s="13"/>
      <c r="B172" s="13"/>
      <c r="C172" s="17"/>
      <c r="D172" s="17"/>
      <c r="E172" s="17"/>
      <c r="F172" s="17"/>
      <c r="G172" s="13"/>
      <c r="H172" s="13"/>
      <c r="I172" s="13"/>
      <c r="J172" s="13"/>
      <c r="K172" s="13"/>
      <c r="L172" s="13"/>
      <c r="M172" s="13"/>
      <c r="N172" s="13"/>
      <c r="O172" s="13"/>
      <c r="P172" s="13"/>
      <c r="Q172" s="13"/>
      <c r="R172" s="13"/>
      <c r="S172" s="13"/>
      <c r="T172" s="13"/>
      <c r="U172" s="13"/>
      <c r="V172" s="13"/>
      <c r="W172" s="13"/>
      <c r="X172" s="13"/>
      <c r="Y172" s="13"/>
      <c r="Z172" s="13"/>
    </row>
    <row r="173" ht="15.75" customHeight="1">
      <c r="A173" s="13"/>
      <c r="B173" s="13"/>
      <c r="C173" s="17"/>
      <c r="D173" s="17"/>
      <c r="E173" s="17"/>
      <c r="F173" s="17"/>
      <c r="G173" s="13"/>
      <c r="H173" s="13"/>
      <c r="I173" s="13"/>
      <c r="J173" s="13"/>
      <c r="K173" s="13"/>
      <c r="L173" s="13"/>
      <c r="M173" s="13"/>
      <c r="N173" s="13"/>
      <c r="O173" s="13"/>
      <c r="P173" s="13"/>
      <c r="Q173" s="13"/>
      <c r="R173" s="13"/>
      <c r="S173" s="13"/>
      <c r="T173" s="13"/>
      <c r="U173" s="13"/>
      <c r="V173" s="13"/>
      <c r="W173" s="13"/>
      <c r="X173" s="13"/>
      <c r="Y173" s="13"/>
      <c r="Z173" s="13"/>
    </row>
    <row r="174" ht="15.75" customHeight="1">
      <c r="A174" s="13"/>
      <c r="B174" s="13"/>
      <c r="C174" s="17"/>
      <c r="D174" s="17"/>
      <c r="E174" s="17"/>
      <c r="F174" s="17"/>
      <c r="G174" s="13"/>
      <c r="H174" s="13"/>
      <c r="I174" s="13"/>
      <c r="J174" s="13"/>
      <c r="K174" s="13"/>
      <c r="L174" s="13"/>
      <c r="M174" s="13"/>
      <c r="N174" s="13"/>
      <c r="O174" s="13"/>
      <c r="P174" s="13"/>
      <c r="Q174" s="13"/>
      <c r="R174" s="13"/>
      <c r="S174" s="13"/>
      <c r="T174" s="13"/>
      <c r="U174" s="13"/>
      <c r="V174" s="13"/>
      <c r="W174" s="13"/>
      <c r="X174" s="13"/>
      <c r="Y174" s="13"/>
      <c r="Z174" s="13"/>
    </row>
    <row r="175" ht="15.75" customHeight="1">
      <c r="A175" s="13"/>
      <c r="B175" s="13"/>
      <c r="C175" s="17"/>
      <c r="D175" s="17"/>
      <c r="E175" s="17"/>
      <c r="F175" s="17"/>
      <c r="G175" s="13"/>
      <c r="H175" s="13"/>
      <c r="I175" s="13"/>
      <c r="J175" s="13"/>
      <c r="K175" s="13"/>
      <c r="L175" s="13"/>
      <c r="M175" s="13"/>
      <c r="N175" s="13"/>
      <c r="O175" s="13"/>
      <c r="P175" s="13"/>
      <c r="Q175" s="13"/>
      <c r="R175" s="13"/>
      <c r="S175" s="13"/>
      <c r="T175" s="13"/>
      <c r="U175" s="13"/>
      <c r="V175" s="13"/>
      <c r="W175" s="13"/>
      <c r="X175" s="13"/>
      <c r="Y175" s="13"/>
      <c r="Z175" s="13"/>
    </row>
    <row r="176" ht="15.75" customHeight="1">
      <c r="A176" s="13"/>
      <c r="B176" s="13"/>
      <c r="C176" s="17"/>
      <c r="D176" s="17"/>
      <c r="E176" s="17"/>
      <c r="F176" s="17"/>
      <c r="G176" s="13"/>
      <c r="H176" s="13"/>
      <c r="I176" s="13"/>
      <c r="J176" s="13"/>
      <c r="K176" s="13"/>
      <c r="L176" s="13"/>
      <c r="M176" s="13"/>
      <c r="N176" s="13"/>
      <c r="O176" s="13"/>
      <c r="P176" s="13"/>
      <c r="Q176" s="13"/>
      <c r="R176" s="13"/>
      <c r="S176" s="13"/>
      <c r="T176" s="13"/>
      <c r="U176" s="13"/>
      <c r="V176" s="13"/>
      <c r="W176" s="13"/>
      <c r="X176" s="13"/>
      <c r="Y176" s="13"/>
      <c r="Z176" s="13"/>
    </row>
    <row r="177" ht="15.75" customHeight="1">
      <c r="A177" s="13"/>
      <c r="B177" s="13"/>
      <c r="C177" s="17"/>
      <c r="D177" s="17"/>
      <c r="E177" s="17"/>
      <c r="F177" s="17"/>
      <c r="G177" s="13"/>
      <c r="H177" s="13"/>
      <c r="I177" s="13"/>
      <c r="J177" s="13"/>
      <c r="K177" s="13"/>
      <c r="L177" s="13"/>
      <c r="M177" s="13"/>
      <c r="N177" s="13"/>
      <c r="O177" s="13"/>
      <c r="P177" s="13"/>
      <c r="Q177" s="13"/>
      <c r="R177" s="13"/>
      <c r="S177" s="13"/>
      <c r="T177" s="13"/>
      <c r="U177" s="13"/>
      <c r="V177" s="13"/>
      <c r="W177" s="13"/>
      <c r="X177" s="13"/>
      <c r="Y177" s="13"/>
      <c r="Z177" s="13"/>
    </row>
    <row r="178" ht="15.75" customHeight="1">
      <c r="A178" s="13"/>
      <c r="B178" s="13"/>
      <c r="C178" s="17"/>
      <c r="D178" s="17"/>
      <c r="E178" s="17"/>
      <c r="F178" s="17"/>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B179" s="13"/>
      <c r="C179" s="17"/>
      <c r="D179" s="17"/>
      <c r="E179" s="17"/>
      <c r="F179" s="17"/>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B180" s="13"/>
      <c r="C180" s="17"/>
      <c r="D180" s="17"/>
      <c r="E180" s="17"/>
      <c r="F180" s="17"/>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B181" s="13"/>
      <c r="C181" s="17"/>
      <c r="D181" s="17"/>
      <c r="E181" s="17"/>
      <c r="F181" s="17"/>
      <c r="G181" s="13"/>
      <c r="H181" s="13"/>
      <c r="I181" s="13"/>
      <c r="J181" s="13"/>
      <c r="K181" s="13"/>
      <c r="L181" s="13"/>
      <c r="M181" s="13"/>
      <c r="N181" s="13"/>
      <c r="O181" s="13"/>
      <c r="P181" s="13"/>
      <c r="Q181" s="13"/>
      <c r="R181" s="13"/>
      <c r="S181" s="13"/>
      <c r="T181" s="13"/>
      <c r="U181" s="13"/>
      <c r="V181" s="13"/>
      <c r="W181" s="13"/>
      <c r="X181" s="13"/>
      <c r="Y181" s="13"/>
      <c r="Z181" s="13"/>
    </row>
    <row r="182" ht="15.75" customHeight="1">
      <c r="A182" s="13"/>
      <c r="B182" s="13"/>
      <c r="C182" s="17"/>
      <c r="D182" s="17"/>
      <c r="E182" s="17"/>
      <c r="F182" s="17"/>
      <c r="G182" s="13"/>
      <c r="H182" s="13"/>
      <c r="I182" s="13"/>
      <c r="J182" s="13"/>
      <c r="K182" s="13"/>
      <c r="L182" s="13"/>
      <c r="M182" s="13"/>
      <c r="N182" s="13"/>
      <c r="O182" s="13"/>
      <c r="P182" s="13"/>
      <c r="Q182" s="13"/>
      <c r="R182" s="13"/>
      <c r="S182" s="13"/>
      <c r="T182" s="13"/>
      <c r="U182" s="13"/>
      <c r="V182" s="13"/>
      <c r="W182" s="13"/>
      <c r="X182" s="13"/>
      <c r="Y182" s="13"/>
      <c r="Z182" s="13"/>
    </row>
    <row r="183" ht="15.75" customHeight="1">
      <c r="A183" s="13"/>
      <c r="B183" s="13"/>
      <c r="C183" s="17"/>
      <c r="D183" s="17"/>
      <c r="E183" s="17"/>
      <c r="F183" s="17"/>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17"/>
      <c r="D184" s="17"/>
      <c r="E184" s="17"/>
      <c r="F184" s="17"/>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17"/>
      <c r="D185" s="17"/>
      <c r="E185" s="17"/>
      <c r="F185" s="17"/>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17"/>
      <c r="D186" s="17"/>
      <c r="E186" s="17"/>
      <c r="F186" s="17"/>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17"/>
      <c r="D187" s="17"/>
      <c r="E187" s="17"/>
      <c r="F187" s="17"/>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17"/>
      <c r="D188" s="17"/>
      <c r="E188" s="17"/>
      <c r="F188" s="17"/>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17"/>
      <c r="D189" s="17"/>
      <c r="E189" s="17"/>
      <c r="F189" s="17"/>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17"/>
      <c r="D190" s="17"/>
      <c r="E190" s="17"/>
      <c r="F190" s="17"/>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17"/>
      <c r="D191" s="17"/>
      <c r="E191" s="17"/>
      <c r="F191" s="17"/>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17"/>
      <c r="D192" s="17"/>
      <c r="E192" s="17"/>
      <c r="F192" s="17"/>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17"/>
      <c r="D193" s="17"/>
      <c r="E193" s="17"/>
      <c r="F193" s="17"/>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17"/>
      <c r="D194" s="17"/>
      <c r="E194" s="17"/>
      <c r="F194" s="17"/>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17"/>
      <c r="D195" s="17"/>
      <c r="E195" s="17"/>
      <c r="F195" s="17"/>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17"/>
      <c r="D196" s="17"/>
      <c r="E196" s="17"/>
      <c r="F196" s="17"/>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17"/>
      <c r="D197" s="17"/>
      <c r="E197" s="17"/>
      <c r="F197" s="17"/>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17"/>
      <c r="D198" s="17"/>
      <c r="E198" s="17"/>
      <c r="F198" s="17"/>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17"/>
      <c r="D199" s="17"/>
      <c r="E199" s="17"/>
      <c r="F199" s="17"/>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17"/>
      <c r="D200" s="17"/>
      <c r="E200" s="17"/>
      <c r="F200" s="17"/>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17"/>
      <c r="D201" s="17"/>
      <c r="E201" s="17"/>
      <c r="F201" s="17"/>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17"/>
      <c r="D202" s="17"/>
      <c r="E202" s="17"/>
      <c r="F202" s="17"/>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17"/>
      <c r="D203" s="17"/>
      <c r="E203" s="17"/>
      <c r="F203" s="17"/>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17"/>
      <c r="D204" s="17"/>
      <c r="E204" s="17"/>
      <c r="F204" s="17"/>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17"/>
      <c r="D205" s="17"/>
      <c r="E205" s="17"/>
      <c r="F205" s="17"/>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17"/>
      <c r="D206" s="17"/>
      <c r="E206" s="17"/>
      <c r="F206" s="17"/>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17"/>
      <c r="D207" s="17"/>
      <c r="E207" s="17"/>
      <c r="F207" s="17"/>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17"/>
      <c r="D208" s="17"/>
      <c r="E208" s="17"/>
      <c r="F208" s="17"/>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17"/>
      <c r="D209" s="17"/>
      <c r="E209" s="17"/>
      <c r="F209" s="17"/>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17"/>
      <c r="D210" s="17"/>
      <c r="E210" s="17"/>
      <c r="F210" s="17"/>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17"/>
      <c r="D211" s="17"/>
      <c r="E211" s="17"/>
      <c r="F211" s="17"/>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17"/>
      <c r="D212" s="17"/>
      <c r="E212" s="17"/>
      <c r="F212" s="17"/>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17"/>
      <c r="D213" s="17"/>
      <c r="E213" s="17"/>
      <c r="F213" s="17"/>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17"/>
      <c r="D214" s="17"/>
      <c r="E214" s="17"/>
      <c r="F214" s="17"/>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17"/>
      <c r="D215" s="17"/>
      <c r="E215" s="17"/>
      <c r="F215" s="17"/>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17"/>
      <c r="D216" s="17"/>
      <c r="E216" s="17"/>
      <c r="F216" s="17"/>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17"/>
      <c r="D217" s="17"/>
      <c r="E217" s="17"/>
      <c r="F217" s="17"/>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17"/>
      <c r="D218" s="17"/>
      <c r="E218" s="17"/>
      <c r="F218" s="17"/>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17"/>
      <c r="D219" s="17"/>
      <c r="E219" s="17"/>
      <c r="F219" s="17"/>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17"/>
      <c r="D220" s="17"/>
      <c r="E220" s="17"/>
      <c r="F220" s="17"/>
      <c r="G220" s="13"/>
      <c r="H220" s="13"/>
      <c r="I220" s="13"/>
      <c r="J220" s="13"/>
      <c r="K220" s="13"/>
      <c r="L220" s="13"/>
      <c r="M220" s="13"/>
      <c r="N220" s="13"/>
      <c r="O220" s="13"/>
      <c r="P220" s="13"/>
      <c r="Q220" s="13"/>
      <c r="R220" s="13"/>
      <c r="S220" s="13"/>
      <c r="T220" s="13"/>
      <c r="U220" s="13"/>
      <c r="V220" s="13"/>
      <c r="W220" s="13"/>
      <c r="X220" s="13"/>
      <c r="Y220" s="13"/>
      <c r="Z220" s="13"/>
    </row>
    <row r="221" ht="15.75" customHeight="1">
      <c r="A221" s="13"/>
      <c r="B221" s="13"/>
      <c r="C221" s="17"/>
      <c r="D221" s="17"/>
      <c r="E221" s="17"/>
      <c r="F221" s="17"/>
      <c r="G221" s="13"/>
      <c r="H221" s="13"/>
      <c r="I221" s="13"/>
      <c r="J221" s="13"/>
      <c r="K221" s="13"/>
      <c r="L221" s="13"/>
      <c r="M221" s="13"/>
      <c r="N221" s="13"/>
      <c r="O221" s="13"/>
      <c r="P221" s="13"/>
      <c r="Q221" s="13"/>
      <c r="R221" s="13"/>
      <c r="S221" s="13"/>
      <c r="T221" s="13"/>
      <c r="U221" s="13"/>
      <c r="V221" s="13"/>
      <c r="W221" s="13"/>
      <c r="X221" s="13"/>
      <c r="Y221" s="13"/>
      <c r="Z221" s="13"/>
    </row>
    <row r="222" ht="15.75" customHeight="1">
      <c r="A222" s="13"/>
      <c r="B222" s="13"/>
      <c r="C222" s="17"/>
      <c r="D222" s="17"/>
      <c r="E222" s="17"/>
      <c r="F222" s="17"/>
      <c r="G222" s="13"/>
      <c r="H222" s="13"/>
      <c r="I222" s="13"/>
      <c r="J222" s="13"/>
      <c r="K222" s="13"/>
      <c r="L222" s="13"/>
      <c r="M222" s="13"/>
      <c r="N222" s="13"/>
      <c r="O222" s="13"/>
      <c r="P222" s="13"/>
      <c r="Q222" s="13"/>
      <c r="R222" s="13"/>
      <c r="S222" s="13"/>
      <c r="T222" s="13"/>
      <c r="U222" s="13"/>
      <c r="V222" s="13"/>
      <c r="W222" s="13"/>
      <c r="X222" s="13"/>
      <c r="Y222" s="13"/>
      <c r="Z222" s="13"/>
    </row>
    <row r="223" ht="15.75" customHeight="1">
      <c r="A223" s="13"/>
      <c r="B223" s="13"/>
      <c r="C223" s="17"/>
      <c r="D223" s="17"/>
      <c r="E223" s="17"/>
      <c r="F223" s="17"/>
      <c r="G223" s="13"/>
      <c r="H223" s="13"/>
      <c r="I223" s="13"/>
      <c r="J223" s="13"/>
      <c r="K223" s="13"/>
      <c r="L223" s="13"/>
      <c r="M223" s="13"/>
      <c r="N223" s="13"/>
      <c r="O223" s="13"/>
      <c r="P223" s="13"/>
      <c r="Q223" s="13"/>
      <c r="R223" s="13"/>
      <c r="S223" s="13"/>
      <c r="T223" s="13"/>
      <c r="U223" s="13"/>
      <c r="V223" s="13"/>
      <c r="W223" s="13"/>
      <c r="X223" s="13"/>
      <c r="Y223" s="13"/>
      <c r="Z223" s="13"/>
    </row>
    <row r="224" ht="15.75" customHeight="1">
      <c r="A224" s="13"/>
      <c r="B224" s="13"/>
      <c r="C224" s="17"/>
      <c r="D224" s="17"/>
      <c r="E224" s="17"/>
      <c r="F224" s="17"/>
      <c r="G224" s="13"/>
      <c r="H224" s="13"/>
      <c r="I224" s="13"/>
      <c r="J224" s="13"/>
      <c r="K224" s="13"/>
      <c r="L224" s="13"/>
      <c r="M224" s="13"/>
      <c r="N224" s="13"/>
      <c r="O224" s="13"/>
      <c r="P224" s="13"/>
      <c r="Q224" s="13"/>
      <c r="R224" s="13"/>
      <c r="S224" s="13"/>
      <c r="T224" s="13"/>
      <c r="U224" s="13"/>
      <c r="V224" s="13"/>
      <c r="W224" s="13"/>
      <c r="X224" s="13"/>
      <c r="Y224" s="13"/>
      <c r="Z224" s="13"/>
    </row>
    <row r="225" ht="15.75" customHeight="1">
      <c r="A225" s="13"/>
      <c r="B225" s="13"/>
      <c r="C225" s="17"/>
      <c r="D225" s="17"/>
      <c r="E225" s="17"/>
      <c r="F225" s="17"/>
      <c r="G225" s="13"/>
      <c r="H225" s="13"/>
      <c r="I225" s="13"/>
      <c r="J225" s="13"/>
      <c r="K225" s="13"/>
      <c r="L225" s="13"/>
      <c r="M225" s="13"/>
      <c r="N225" s="13"/>
      <c r="O225" s="13"/>
      <c r="P225" s="13"/>
      <c r="Q225" s="13"/>
      <c r="R225" s="13"/>
      <c r="S225" s="13"/>
      <c r="T225" s="13"/>
      <c r="U225" s="13"/>
      <c r="V225" s="13"/>
      <c r="W225" s="13"/>
      <c r="X225" s="13"/>
      <c r="Y225" s="13"/>
      <c r="Z225" s="13"/>
    </row>
    <row r="226" ht="15.75" customHeight="1">
      <c r="A226" s="13"/>
      <c r="B226" s="13"/>
      <c r="C226" s="17"/>
      <c r="D226" s="17"/>
      <c r="E226" s="17"/>
      <c r="F226" s="17"/>
      <c r="G226" s="13"/>
      <c r="H226" s="13"/>
      <c r="I226" s="13"/>
      <c r="J226" s="13"/>
      <c r="K226" s="13"/>
      <c r="L226" s="13"/>
      <c r="M226" s="13"/>
      <c r="N226" s="13"/>
      <c r="O226" s="13"/>
      <c r="P226" s="13"/>
      <c r="Q226" s="13"/>
      <c r="R226" s="13"/>
      <c r="S226" s="13"/>
      <c r="T226" s="13"/>
      <c r="U226" s="13"/>
      <c r="V226" s="13"/>
      <c r="W226" s="13"/>
      <c r="X226" s="13"/>
      <c r="Y226" s="13"/>
      <c r="Z226" s="13"/>
    </row>
    <row r="227" ht="15.75" customHeight="1">
      <c r="A227" s="13"/>
      <c r="B227" s="13"/>
      <c r="C227" s="17"/>
      <c r="D227" s="17"/>
      <c r="E227" s="17"/>
      <c r="F227" s="17"/>
      <c r="G227" s="13"/>
      <c r="H227" s="13"/>
      <c r="I227" s="13"/>
      <c r="J227" s="13"/>
      <c r="K227" s="13"/>
      <c r="L227" s="13"/>
      <c r="M227" s="13"/>
      <c r="N227" s="13"/>
      <c r="O227" s="13"/>
      <c r="P227" s="13"/>
      <c r="Q227" s="13"/>
      <c r="R227" s="13"/>
      <c r="S227" s="13"/>
      <c r="T227" s="13"/>
      <c r="U227" s="13"/>
      <c r="V227" s="13"/>
      <c r="W227" s="13"/>
      <c r="X227" s="13"/>
      <c r="Y227" s="13"/>
      <c r="Z227" s="13"/>
    </row>
    <row r="228" ht="15.75" customHeight="1">
      <c r="A228" s="13"/>
      <c r="B228" s="13"/>
      <c r="C228" s="17"/>
      <c r="D228" s="17"/>
      <c r="E228" s="17"/>
      <c r="F228" s="17"/>
      <c r="G228" s="13"/>
      <c r="H228" s="13"/>
      <c r="I228" s="13"/>
      <c r="J228" s="13"/>
      <c r="K228" s="13"/>
      <c r="L228" s="13"/>
      <c r="M228" s="13"/>
      <c r="N228" s="13"/>
      <c r="O228" s="13"/>
      <c r="P228" s="13"/>
      <c r="Q228" s="13"/>
      <c r="R228" s="13"/>
      <c r="S228" s="13"/>
      <c r="T228" s="13"/>
      <c r="U228" s="13"/>
      <c r="V228" s="13"/>
      <c r="W228" s="13"/>
      <c r="X228" s="13"/>
      <c r="Y228" s="13"/>
      <c r="Z228" s="13"/>
    </row>
    <row r="229" ht="15.75" customHeight="1">
      <c r="A229" s="13"/>
      <c r="B229" s="13"/>
      <c r="C229" s="17"/>
      <c r="D229" s="17"/>
      <c r="E229" s="17"/>
      <c r="F229" s="17"/>
      <c r="G229" s="13"/>
      <c r="H229" s="13"/>
      <c r="I229" s="13"/>
      <c r="J229" s="13"/>
      <c r="K229" s="13"/>
      <c r="L229" s="13"/>
      <c r="M229" s="13"/>
      <c r="N229" s="13"/>
      <c r="O229" s="13"/>
      <c r="P229" s="13"/>
      <c r="Q229" s="13"/>
      <c r="R229" s="13"/>
      <c r="S229" s="13"/>
      <c r="T229" s="13"/>
      <c r="U229" s="13"/>
      <c r="V229" s="13"/>
      <c r="W229" s="13"/>
      <c r="X229" s="13"/>
      <c r="Y229" s="13"/>
      <c r="Z229" s="13"/>
    </row>
    <row r="230" ht="15.75" customHeight="1">
      <c r="A230" s="13"/>
      <c r="B230" s="13"/>
      <c r="C230" s="17"/>
      <c r="D230" s="17"/>
      <c r="E230" s="17"/>
      <c r="F230" s="17"/>
      <c r="G230" s="13"/>
      <c r="H230" s="13"/>
      <c r="I230" s="13"/>
      <c r="J230" s="13"/>
      <c r="K230" s="13"/>
      <c r="L230" s="13"/>
      <c r="M230" s="13"/>
      <c r="N230" s="13"/>
      <c r="O230" s="13"/>
      <c r="P230" s="13"/>
      <c r="Q230" s="13"/>
      <c r="R230" s="13"/>
      <c r="S230" s="13"/>
      <c r="T230" s="13"/>
      <c r="U230" s="13"/>
      <c r="V230" s="13"/>
      <c r="W230" s="13"/>
      <c r="X230" s="13"/>
      <c r="Y230" s="13"/>
      <c r="Z230" s="13"/>
    </row>
    <row r="231" ht="15.75" customHeight="1">
      <c r="A231" s="13"/>
      <c r="B231" s="13"/>
      <c r="C231" s="17"/>
      <c r="D231" s="17"/>
      <c r="E231" s="17"/>
      <c r="F231" s="17"/>
      <c r="G231" s="13"/>
      <c r="H231" s="13"/>
      <c r="I231" s="13"/>
      <c r="J231" s="13"/>
      <c r="K231" s="13"/>
      <c r="L231" s="13"/>
      <c r="M231" s="13"/>
      <c r="N231" s="13"/>
      <c r="O231" s="13"/>
      <c r="P231" s="13"/>
      <c r="Q231" s="13"/>
      <c r="R231" s="13"/>
      <c r="S231" s="13"/>
      <c r="T231" s="13"/>
      <c r="U231" s="13"/>
      <c r="V231" s="13"/>
      <c r="W231" s="13"/>
      <c r="X231" s="13"/>
      <c r="Y231" s="13"/>
      <c r="Z231" s="13"/>
    </row>
    <row r="232" ht="15.75" customHeight="1">
      <c r="A232" s="13"/>
      <c r="B232" s="13"/>
      <c r="C232" s="17"/>
      <c r="D232" s="17"/>
      <c r="E232" s="17"/>
      <c r="F232" s="17"/>
      <c r="G232" s="13"/>
      <c r="H232" s="13"/>
      <c r="I232" s="13"/>
      <c r="J232" s="13"/>
      <c r="K232" s="13"/>
      <c r="L232" s="13"/>
      <c r="M232" s="13"/>
      <c r="N232" s="13"/>
      <c r="O232" s="13"/>
      <c r="P232" s="13"/>
      <c r="Q232" s="13"/>
      <c r="R232" s="13"/>
      <c r="S232" s="13"/>
      <c r="T232" s="13"/>
      <c r="U232" s="13"/>
      <c r="V232" s="13"/>
      <c r="W232" s="13"/>
      <c r="X232" s="13"/>
      <c r="Y232" s="13"/>
      <c r="Z232" s="13"/>
    </row>
    <row r="233" ht="15.75" customHeight="1">
      <c r="A233" s="13"/>
      <c r="B233" s="13"/>
      <c r="C233" s="17"/>
      <c r="D233" s="17"/>
      <c r="E233" s="17"/>
      <c r="F233" s="17"/>
      <c r="G233" s="13"/>
      <c r="H233" s="13"/>
      <c r="I233" s="13"/>
      <c r="J233" s="13"/>
      <c r="K233" s="13"/>
      <c r="L233" s="13"/>
      <c r="M233" s="13"/>
      <c r="N233" s="13"/>
      <c r="O233" s="13"/>
      <c r="P233" s="13"/>
      <c r="Q233" s="13"/>
      <c r="R233" s="13"/>
      <c r="S233" s="13"/>
      <c r="T233" s="13"/>
      <c r="U233" s="13"/>
      <c r="V233" s="13"/>
      <c r="W233" s="13"/>
      <c r="X233" s="13"/>
      <c r="Y233" s="13"/>
      <c r="Z233" s="13"/>
    </row>
    <row r="234" ht="15.75" customHeight="1">
      <c r="A234" s="13"/>
      <c r="B234" s="13"/>
      <c r="C234" s="17"/>
      <c r="D234" s="17"/>
      <c r="E234" s="17"/>
      <c r="F234" s="17"/>
      <c r="G234" s="13"/>
      <c r="H234" s="13"/>
      <c r="I234" s="13"/>
      <c r="J234" s="13"/>
      <c r="K234" s="13"/>
      <c r="L234" s="13"/>
      <c r="M234" s="13"/>
      <c r="N234" s="13"/>
      <c r="O234" s="13"/>
      <c r="P234" s="13"/>
      <c r="Q234" s="13"/>
      <c r="R234" s="13"/>
      <c r="S234" s="13"/>
      <c r="T234" s="13"/>
      <c r="U234" s="13"/>
      <c r="V234" s="13"/>
      <c r="W234" s="13"/>
      <c r="X234" s="13"/>
      <c r="Y234" s="13"/>
      <c r="Z234" s="13"/>
    </row>
    <row r="235" ht="15.75" customHeight="1">
      <c r="A235" s="13"/>
      <c r="B235" s="13"/>
      <c r="C235" s="17"/>
      <c r="D235" s="17"/>
      <c r="E235" s="17"/>
      <c r="F235" s="17"/>
      <c r="G235" s="13"/>
      <c r="H235" s="13"/>
      <c r="I235" s="13"/>
      <c r="J235" s="13"/>
      <c r="K235" s="13"/>
      <c r="L235" s="13"/>
      <c r="M235" s="13"/>
      <c r="N235" s="13"/>
      <c r="O235" s="13"/>
      <c r="P235" s="13"/>
      <c r="Q235" s="13"/>
      <c r="R235" s="13"/>
      <c r="S235" s="13"/>
      <c r="T235" s="13"/>
      <c r="U235" s="13"/>
      <c r="V235" s="13"/>
      <c r="W235" s="13"/>
      <c r="X235" s="13"/>
      <c r="Y235" s="13"/>
      <c r="Z235" s="13"/>
    </row>
    <row r="236" ht="15.75" customHeight="1">
      <c r="A236" s="13"/>
      <c r="B236" s="13"/>
      <c r="C236" s="17"/>
      <c r="D236" s="17"/>
      <c r="E236" s="17"/>
      <c r="F236" s="17"/>
      <c r="G236" s="13"/>
      <c r="H236" s="13"/>
      <c r="I236" s="13"/>
      <c r="J236" s="13"/>
      <c r="K236" s="13"/>
      <c r="L236" s="13"/>
      <c r="M236" s="13"/>
      <c r="N236" s="13"/>
      <c r="O236" s="13"/>
      <c r="P236" s="13"/>
      <c r="Q236" s="13"/>
      <c r="R236" s="13"/>
      <c r="S236" s="13"/>
      <c r="T236" s="13"/>
      <c r="U236" s="13"/>
      <c r="V236" s="13"/>
      <c r="W236" s="13"/>
      <c r="X236" s="13"/>
      <c r="Y236" s="13"/>
      <c r="Z236" s="13"/>
    </row>
    <row r="237" ht="15.75" customHeight="1">
      <c r="A237" s="13"/>
      <c r="B237" s="13"/>
      <c r="C237" s="17"/>
      <c r="D237" s="17"/>
      <c r="E237" s="17"/>
      <c r="F237" s="17"/>
      <c r="G237" s="13"/>
      <c r="H237" s="13"/>
      <c r="I237" s="13"/>
      <c r="J237" s="13"/>
      <c r="K237" s="13"/>
      <c r="L237" s="13"/>
      <c r="M237" s="13"/>
      <c r="N237" s="13"/>
      <c r="O237" s="13"/>
      <c r="P237" s="13"/>
      <c r="Q237" s="13"/>
      <c r="R237" s="13"/>
      <c r="S237" s="13"/>
      <c r="T237" s="13"/>
      <c r="U237" s="13"/>
      <c r="V237" s="13"/>
      <c r="W237" s="13"/>
      <c r="X237" s="13"/>
      <c r="Y237" s="13"/>
      <c r="Z237" s="13"/>
    </row>
    <row r="238" ht="15.75" customHeight="1">
      <c r="A238" s="13"/>
      <c r="B238" s="13"/>
      <c r="C238" s="17"/>
      <c r="D238" s="17"/>
      <c r="E238" s="17"/>
      <c r="F238" s="17"/>
      <c r="G238" s="13"/>
      <c r="H238" s="13"/>
      <c r="I238" s="13"/>
      <c r="J238" s="13"/>
      <c r="K238" s="13"/>
      <c r="L238" s="13"/>
      <c r="M238" s="13"/>
      <c r="N238" s="13"/>
      <c r="O238" s="13"/>
      <c r="P238" s="13"/>
      <c r="Q238" s="13"/>
      <c r="R238" s="13"/>
      <c r="S238" s="13"/>
      <c r="T238" s="13"/>
      <c r="U238" s="13"/>
      <c r="V238" s="13"/>
      <c r="W238" s="13"/>
      <c r="X238" s="13"/>
      <c r="Y238" s="13"/>
      <c r="Z238" s="13"/>
    </row>
    <row r="239" ht="15.75" customHeight="1">
      <c r="A239" s="13"/>
      <c r="B239" s="13"/>
      <c r="C239" s="17"/>
      <c r="D239" s="17"/>
      <c r="E239" s="17"/>
      <c r="F239" s="17"/>
      <c r="G239" s="13"/>
      <c r="H239" s="13"/>
      <c r="I239" s="13"/>
      <c r="J239" s="13"/>
      <c r="K239" s="13"/>
      <c r="L239" s="13"/>
      <c r="M239" s="13"/>
      <c r="N239" s="13"/>
      <c r="O239" s="13"/>
      <c r="P239" s="13"/>
      <c r="Q239" s="13"/>
      <c r="R239" s="13"/>
      <c r="S239" s="13"/>
      <c r="T239" s="13"/>
      <c r="U239" s="13"/>
      <c r="V239" s="13"/>
      <c r="W239" s="13"/>
      <c r="X239" s="13"/>
      <c r="Y239" s="13"/>
      <c r="Z239" s="13"/>
    </row>
    <row r="240" ht="15.75" customHeight="1">
      <c r="A240" s="13"/>
      <c r="B240" s="13"/>
      <c r="C240" s="17"/>
      <c r="D240" s="17"/>
      <c r="E240" s="17"/>
      <c r="F240" s="17"/>
      <c r="G240" s="13"/>
      <c r="H240" s="13"/>
      <c r="I240" s="13"/>
      <c r="J240" s="13"/>
      <c r="K240" s="13"/>
      <c r="L240" s="13"/>
      <c r="M240" s="13"/>
      <c r="N240" s="13"/>
      <c r="O240" s="13"/>
      <c r="P240" s="13"/>
      <c r="Q240" s="13"/>
      <c r="R240" s="13"/>
      <c r="S240" s="13"/>
      <c r="T240" s="13"/>
      <c r="U240" s="13"/>
      <c r="V240" s="13"/>
      <c r="W240" s="13"/>
      <c r="X240" s="13"/>
      <c r="Y240" s="13"/>
      <c r="Z240" s="13"/>
    </row>
    <row r="241" ht="15.75" customHeight="1">
      <c r="A241" s="13"/>
      <c r="B241" s="13"/>
      <c r="C241" s="17"/>
      <c r="D241" s="17"/>
      <c r="E241" s="17"/>
      <c r="F241" s="17"/>
      <c r="G241" s="13"/>
      <c r="H241" s="13"/>
      <c r="I241" s="13"/>
      <c r="J241" s="13"/>
      <c r="K241" s="13"/>
      <c r="L241" s="13"/>
      <c r="M241" s="13"/>
      <c r="N241" s="13"/>
      <c r="O241" s="13"/>
      <c r="P241" s="13"/>
      <c r="Q241" s="13"/>
      <c r="R241" s="13"/>
      <c r="S241" s="13"/>
      <c r="T241" s="13"/>
      <c r="U241" s="13"/>
      <c r="V241" s="13"/>
      <c r="W241" s="13"/>
      <c r="X241" s="13"/>
      <c r="Y241" s="13"/>
      <c r="Z241" s="13"/>
    </row>
    <row r="242" ht="15.75" customHeight="1">
      <c r="A242" s="13"/>
      <c r="B242" s="13"/>
      <c r="C242" s="17"/>
      <c r="D242" s="17"/>
      <c r="E242" s="17"/>
      <c r="F242" s="17"/>
      <c r="G242" s="13"/>
      <c r="H242" s="13"/>
      <c r="I242" s="13"/>
      <c r="J242" s="13"/>
      <c r="K242" s="13"/>
      <c r="L242" s="13"/>
      <c r="M242" s="13"/>
      <c r="N242" s="13"/>
      <c r="O242" s="13"/>
      <c r="P242" s="13"/>
      <c r="Q242" s="13"/>
      <c r="R242" s="13"/>
      <c r="S242" s="13"/>
      <c r="T242" s="13"/>
      <c r="U242" s="13"/>
      <c r="V242" s="13"/>
      <c r="W242" s="13"/>
      <c r="X242" s="13"/>
      <c r="Y242" s="13"/>
      <c r="Z242" s="13"/>
    </row>
    <row r="243" ht="15.75" customHeight="1">
      <c r="A243" s="13"/>
      <c r="B243" s="13"/>
      <c r="C243" s="17"/>
      <c r="D243" s="17"/>
      <c r="E243" s="17"/>
      <c r="F243" s="17"/>
      <c r="G243" s="13"/>
      <c r="H243" s="13"/>
      <c r="I243" s="13"/>
      <c r="J243" s="13"/>
      <c r="K243" s="13"/>
      <c r="L243" s="13"/>
      <c r="M243" s="13"/>
      <c r="N243" s="13"/>
      <c r="O243" s="13"/>
      <c r="P243" s="13"/>
      <c r="Q243" s="13"/>
      <c r="R243" s="13"/>
      <c r="S243" s="13"/>
      <c r="T243" s="13"/>
      <c r="U243" s="13"/>
      <c r="V243" s="13"/>
      <c r="W243" s="13"/>
      <c r="X243" s="13"/>
      <c r="Y243" s="13"/>
      <c r="Z243" s="13"/>
    </row>
    <row r="244" ht="15.75" customHeight="1">
      <c r="A244" s="13"/>
      <c r="B244" s="13"/>
      <c r="C244" s="17"/>
      <c r="D244" s="17"/>
      <c r="E244" s="17"/>
      <c r="F244" s="17"/>
      <c r="G244" s="13"/>
      <c r="H244" s="13"/>
      <c r="I244" s="13"/>
      <c r="J244" s="13"/>
      <c r="K244" s="13"/>
      <c r="L244" s="13"/>
      <c r="M244" s="13"/>
      <c r="N244" s="13"/>
      <c r="O244" s="13"/>
      <c r="P244" s="13"/>
      <c r="Q244" s="13"/>
      <c r="R244" s="13"/>
      <c r="S244" s="13"/>
      <c r="T244" s="13"/>
      <c r="U244" s="13"/>
      <c r="V244" s="13"/>
      <c r="W244" s="13"/>
      <c r="X244" s="13"/>
      <c r="Y244" s="13"/>
      <c r="Z244" s="13"/>
    </row>
    <row r="245" ht="15.75" customHeight="1">
      <c r="A245" s="13"/>
      <c r="B245" s="13"/>
      <c r="C245" s="17"/>
      <c r="D245" s="17"/>
      <c r="E245" s="17"/>
      <c r="F245" s="17"/>
      <c r="G245" s="13"/>
      <c r="H245" s="13"/>
      <c r="I245" s="13"/>
      <c r="J245" s="13"/>
      <c r="K245" s="13"/>
      <c r="L245" s="13"/>
      <c r="M245" s="13"/>
      <c r="N245" s="13"/>
      <c r="O245" s="13"/>
      <c r="P245" s="13"/>
      <c r="Q245" s="13"/>
      <c r="R245" s="13"/>
      <c r="S245" s="13"/>
      <c r="T245" s="13"/>
      <c r="U245" s="13"/>
      <c r="V245" s="13"/>
      <c r="W245" s="13"/>
      <c r="X245" s="13"/>
      <c r="Y245" s="13"/>
      <c r="Z245" s="13"/>
    </row>
    <row r="246" ht="15.75" customHeight="1">
      <c r="A246" s="13"/>
      <c r="B246" s="13"/>
      <c r="C246" s="17"/>
      <c r="D246" s="17"/>
      <c r="E246" s="17"/>
      <c r="F246" s="17"/>
      <c r="G246" s="13"/>
      <c r="H246" s="13"/>
      <c r="I246" s="13"/>
      <c r="J246" s="13"/>
      <c r="K246" s="13"/>
      <c r="L246" s="13"/>
      <c r="M246" s="13"/>
      <c r="N246" s="13"/>
      <c r="O246" s="13"/>
      <c r="P246" s="13"/>
      <c r="Q246" s="13"/>
      <c r="R246" s="13"/>
      <c r="S246" s="13"/>
      <c r="T246" s="13"/>
      <c r="U246" s="13"/>
      <c r="V246" s="13"/>
      <c r="W246" s="13"/>
      <c r="X246" s="13"/>
      <c r="Y246" s="13"/>
      <c r="Z246" s="13"/>
    </row>
    <row r="247" ht="15.75" customHeight="1">
      <c r="A247" s="13"/>
      <c r="B247" s="13"/>
      <c r="C247" s="17"/>
      <c r="D247" s="17"/>
      <c r="E247" s="17"/>
      <c r="F247" s="17"/>
      <c r="G247" s="13"/>
      <c r="H247" s="13"/>
      <c r="I247" s="13"/>
      <c r="J247" s="13"/>
      <c r="K247" s="13"/>
      <c r="L247" s="13"/>
      <c r="M247" s="13"/>
      <c r="N247" s="13"/>
      <c r="O247" s="13"/>
      <c r="P247" s="13"/>
      <c r="Q247" s="13"/>
      <c r="R247" s="13"/>
      <c r="S247" s="13"/>
      <c r="T247" s="13"/>
      <c r="U247" s="13"/>
      <c r="V247" s="13"/>
      <c r="W247" s="13"/>
      <c r="X247" s="13"/>
      <c r="Y247" s="13"/>
      <c r="Z247" s="13"/>
    </row>
    <row r="248" ht="15.75" customHeight="1">
      <c r="A248" s="13"/>
      <c r="B248" s="13"/>
      <c r="C248" s="17"/>
      <c r="D248" s="17"/>
      <c r="E248" s="17"/>
      <c r="F248" s="17"/>
      <c r="G248" s="13"/>
      <c r="H248" s="13"/>
      <c r="I248" s="13"/>
      <c r="J248" s="13"/>
      <c r="K248" s="13"/>
      <c r="L248" s="13"/>
      <c r="M248" s="13"/>
      <c r="N248" s="13"/>
      <c r="O248" s="13"/>
      <c r="P248" s="13"/>
      <c r="Q248" s="13"/>
      <c r="R248" s="13"/>
      <c r="S248" s="13"/>
      <c r="T248" s="13"/>
      <c r="U248" s="13"/>
      <c r="V248" s="13"/>
      <c r="W248" s="13"/>
      <c r="X248" s="13"/>
      <c r="Y248" s="13"/>
      <c r="Z248" s="13"/>
    </row>
    <row r="249" ht="15.75" customHeight="1">
      <c r="A249" s="13"/>
      <c r="B249" s="13"/>
      <c r="C249" s="17"/>
      <c r="D249" s="17"/>
      <c r="E249" s="17"/>
      <c r="F249" s="17"/>
      <c r="G249" s="13"/>
      <c r="H249" s="13"/>
      <c r="I249" s="13"/>
      <c r="J249" s="13"/>
      <c r="K249" s="13"/>
      <c r="L249" s="13"/>
      <c r="M249" s="13"/>
      <c r="N249" s="13"/>
      <c r="O249" s="13"/>
      <c r="P249" s="13"/>
      <c r="Q249" s="13"/>
      <c r="R249" s="13"/>
      <c r="S249" s="13"/>
      <c r="T249" s="13"/>
      <c r="U249" s="13"/>
      <c r="V249" s="13"/>
      <c r="W249" s="13"/>
      <c r="X249" s="13"/>
      <c r="Y249" s="13"/>
      <c r="Z249" s="13"/>
    </row>
    <row r="250" ht="15.75" customHeight="1">
      <c r="A250" s="13"/>
      <c r="B250" s="13"/>
      <c r="C250" s="17"/>
      <c r="D250" s="17"/>
      <c r="E250" s="17"/>
      <c r="F250" s="17"/>
      <c r="G250" s="13"/>
      <c r="H250" s="13"/>
      <c r="I250" s="13"/>
      <c r="J250" s="13"/>
      <c r="K250" s="13"/>
      <c r="L250" s="13"/>
      <c r="M250" s="13"/>
      <c r="N250" s="13"/>
      <c r="O250" s="13"/>
      <c r="P250" s="13"/>
      <c r="Q250" s="13"/>
      <c r="R250" s="13"/>
      <c r="S250" s="13"/>
      <c r="T250" s="13"/>
      <c r="U250" s="13"/>
      <c r="V250" s="13"/>
      <c r="W250" s="13"/>
      <c r="X250" s="13"/>
      <c r="Y250" s="13"/>
      <c r="Z250" s="13"/>
    </row>
    <row r="251" ht="15.75" customHeight="1">
      <c r="A251" s="13"/>
      <c r="B251" s="13"/>
      <c r="C251" s="17"/>
      <c r="D251" s="17"/>
      <c r="E251" s="17"/>
      <c r="F251" s="17"/>
      <c r="G251" s="13"/>
      <c r="H251" s="13"/>
      <c r="I251" s="13"/>
      <c r="J251" s="13"/>
      <c r="K251" s="13"/>
      <c r="L251" s="13"/>
      <c r="M251" s="13"/>
      <c r="N251" s="13"/>
      <c r="O251" s="13"/>
      <c r="P251" s="13"/>
      <c r="Q251" s="13"/>
      <c r="R251" s="13"/>
      <c r="S251" s="13"/>
      <c r="T251" s="13"/>
      <c r="U251" s="13"/>
      <c r="V251" s="13"/>
      <c r="W251" s="13"/>
      <c r="X251" s="13"/>
      <c r="Y251" s="13"/>
      <c r="Z251" s="13"/>
    </row>
    <row r="252" ht="15.75" customHeight="1">
      <c r="A252" s="13"/>
      <c r="B252" s="13"/>
      <c r="C252" s="17"/>
      <c r="D252" s="17"/>
      <c r="E252" s="17"/>
      <c r="F252" s="17"/>
      <c r="G252" s="13"/>
      <c r="H252" s="13"/>
      <c r="I252" s="13"/>
      <c r="J252" s="13"/>
      <c r="K252" s="13"/>
      <c r="L252" s="13"/>
      <c r="M252" s="13"/>
      <c r="N252" s="13"/>
      <c r="O252" s="13"/>
      <c r="P252" s="13"/>
      <c r="Q252" s="13"/>
      <c r="R252" s="13"/>
      <c r="S252" s="13"/>
      <c r="T252" s="13"/>
      <c r="U252" s="13"/>
      <c r="V252" s="13"/>
      <c r="W252" s="13"/>
      <c r="X252" s="13"/>
      <c r="Y252" s="13"/>
      <c r="Z252" s="13"/>
    </row>
    <row r="253" ht="15.75" customHeight="1">
      <c r="A253" s="13"/>
      <c r="B253" s="13"/>
      <c r="C253" s="17"/>
      <c r="D253" s="17"/>
      <c r="E253" s="17"/>
      <c r="F253" s="17"/>
      <c r="G253" s="13"/>
      <c r="H253" s="13"/>
      <c r="I253" s="13"/>
      <c r="J253" s="13"/>
      <c r="K253" s="13"/>
      <c r="L253" s="13"/>
      <c r="M253" s="13"/>
      <c r="N253" s="13"/>
      <c r="O253" s="13"/>
      <c r="P253" s="13"/>
      <c r="Q253" s="13"/>
      <c r="R253" s="13"/>
      <c r="S253" s="13"/>
      <c r="T253" s="13"/>
      <c r="U253" s="13"/>
      <c r="V253" s="13"/>
      <c r="W253" s="13"/>
      <c r="X253" s="13"/>
      <c r="Y253" s="13"/>
      <c r="Z253" s="13"/>
    </row>
    <row r="254" ht="15.75" customHeight="1">
      <c r="A254" s="13"/>
      <c r="B254" s="13"/>
      <c r="C254" s="17"/>
      <c r="D254" s="17"/>
      <c r="E254" s="17"/>
      <c r="F254" s="17"/>
      <c r="G254" s="13"/>
      <c r="H254" s="13"/>
      <c r="I254" s="13"/>
      <c r="J254" s="13"/>
      <c r="K254" s="13"/>
      <c r="L254" s="13"/>
      <c r="M254" s="13"/>
      <c r="N254" s="13"/>
      <c r="O254" s="13"/>
      <c r="P254" s="13"/>
      <c r="Q254" s="13"/>
      <c r="R254" s="13"/>
      <c r="S254" s="13"/>
      <c r="T254" s="13"/>
      <c r="U254" s="13"/>
      <c r="V254" s="13"/>
      <c r="W254" s="13"/>
      <c r="X254" s="13"/>
      <c r="Y254" s="13"/>
      <c r="Z254" s="13"/>
    </row>
    <row r="255" ht="15.75" customHeight="1">
      <c r="A255" s="13"/>
      <c r="B255" s="13"/>
      <c r="C255" s="17"/>
      <c r="D255" s="17"/>
      <c r="E255" s="17"/>
      <c r="F255" s="17"/>
      <c r="G255" s="13"/>
      <c r="H255" s="13"/>
      <c r="I255" s="13"/>
      <c r="J255" s="13"/>
      <c r="K255" s="13"/>
      <c r="L255" s="13"/>
      <c r="M255" s="13"/>
      <c r="N255" s="13"/>
      <c r="O255" s="13"/>
      <c r="P255" s="13"/>
      <c r="Q255" s="13"/>
      <c r="R255" s="13"/>
      <c r="S255" s="13"/>
      <c r="T255" s="13"/>
      <c r="U255" s="13"/>
      <c r="V255" s="13"/>
      <c r="W255" s="13"/>
      <c r="X255" s="13"/>
      <c r="Y255" s="13"/>
      <c r="Z255" s="13"/>
    </row>
    <row r="256" ht="15.75" customHeight="1">
      <c r="A256" s="13"/>
      <c r="B256" s="13"/>
      <c r="C256" s="17"/>
      <c r="D256" s="17"/>
      <c r="E256" s="17"/>
      <c r="F256" s="17"/>
      <c r="G256" s="13"/>
      <c r="H256" s="13"/>
      <c r="I256" s="13"/>
      <c r="J256" s="13"/>
      <c r="K256" s="13"/>
      <c r="L256" s="13"/>
      <c r="M256" s="13"/>
      <c r="N256" s="13"/>
      <c r="O256" s="13"/>
      <c r="P256" s="13"/>
      <c r="Q256" s="13"/>
      <c r="R256" s="13"/>
      <c r="S256" s="13"/>
      <c r="T256" s="13"/>
      <c r="U256" s="13"/>
      <c r="V256" s="13"/>
      <c r="W256" s="13"/>
      <c r="X256" s="13"/>
      <c r="Y256" s="13"/>
      <c r="Z256" s="13"/>
    </row>
    <row r="257" ht="15.75" customHeight="1">
      <c r="A257" s="13"/>
      <c r="B257" s="13"/>
      <c r="C257" s="17"/>
      <c r="D257" s="17"/>
      <c r="E257" s="17"/>
      <c r="F257" s="17"/>
      <c r="G257" s="13"/>
      <c r="H257" s="13"/>
      <c r="I257" s="13"/>
      <c r="J257" s="13"/>
      <c r="K257" s="13"/>
      <c r="L257" s="13"/>
      <c r="M257" s="13"/>
      <c r="N257" s="13"/>
      <c r="O257" s="13"/>
      <c r="P257" s="13"/>
      <c r="Q257" s="13"/>
      <c r="R257" s="13"/>
      <c r="S257" s="13"/>
      <c r="T257" s="13"/>
      <c r="U257" s="13"/>
      <c r="V257" s="13"/>
      <c r="W257" s="13"/>
      <c r="X257" s="13"/>
      <c r="Y257" s="13"/>
      <c r="Z257" s="13"/>
    </row>
    <row r="258" ht="15.75" customHeight="1">
      <c r="A258" s="13"/>
      <c r="B258" s="13"/>
      <c r="C258" s="17"/>
      <c r="D258" s="17"/>
      <c r="E258" s="17"/>
      <c r="F258" s="17"/>
      <c r="G258" s="13"/>
      <c r="H258" s="13"/>
      <c r="I258" s="13"/>
      <c r="J258" s="13"/>
      <c r="K258" s="13"/>
      <c r="L258" s="13"/>
      <c r="M258" s="13"/>
      <c r="N258" s="13"/>
      <c r="O258" s="13"/>
      <c r="P258" s="13"/>
      <c r="Q258" s="13"/>
      <c r="R258" s="13"/>
      <c r="S258" s="13"/>
      <c r="T258" s="13"/>
      <c r="U258" s="13"/>
      <c r="V258" s="13"/>
      <c r="W258" s="13"/>
      <c r="X258" s="13"/>
      <c r="Y258" s="13"/>
      <c r="Z258" s="13"/>
    </row>
    <row r="259" ht="15.75" customHeight="1">
      <c r="A259" s="13"/>
      <c r="B259" s="13"/>
      <c r="C259" s="17"/>
      <c r="D259" s="17"/>
      <c r="E259" s="17"/>
      <c r="F259" s="17"/>
      <c r="G259" s="13"/>
      <c r="H259" s="13"/>
      <c r="I259" s="13"/>
      <c r="J259" s="13"/>
      <c r="K259" s="13"/>
      <c r="L259" s="13"/>
      <c r="M259" s="13"/>
      <c r="N259" s="13"/>
      <c r="O259" s="13"/>
      <c r="P259" s="13"/>
      <c r="Q259" s="13"/>
      <c r="R259" s="13"/>
      <c r="S259" s="13"/>
      <c r="T259" s="13"/>
      <c r="U259" s="13"/>
      <c r="V259" s="13"/>
      <c r="W259" s="13"/>
      <c r="X259" s="13"/>
      <c r="Y259" s="13"/>
      <c r="Z259" s="13"/>
    </row>
    <row r="260" ht="15.75" customHeight="1">
      <c r="A260" s="13"/>
      <c r="B260" s="13"/>
      <c r="C260" s="17"/>
      <c r="D260" s="17"/>
      <c r="E260" s="17"/>
      <c r="F260" s="17"/>
      <c r="G260" s="13"/>
      <c r="H260" s="13"/>
      <c r="I260" s="13"/>
      <c r="J260" s="13"/>
      <c r="K260" s="13"/>
      <c r="L260" s="13"/>
      <c r="M260" s="13"/>
      <c r="N260" s="13"/>
      <c r="O260" s="13"/>
      <c r="P260" s="13"/>
      <c r="Q260" s="13"/>
      <c r="R260" s="13"/>
      <c r="S260" s="13"/>
      <c r="T260" s="13"/>
      <c r="U260" s="13"/>
      <c r="V260" s="13"/>
      <c r="W260" s="13"/>
      <c r="X260" s="13"/>
      <c r="Y260" s="13"/>
      <c r="Z260" s="13"/>
    </row>
    <row r="261" ht="15.75" customHeight="1">
      <c r="A261" s="13"/>
      <c r="B261" s="13"/>
      <c r="C261" s="17"/>
      <c r="D261" s="17"/>
      <c r="E261" s="17"/>
      <c r="F261" s="17"/>
      <c r="G261" s="13"/>
      <c r="H261" s="13"/>
      <c r="I261" s="13"/>
      <c r="J261" s="13"/>
      <c r="K261" s="13"/>
      <c r="L261" s="13"/>
      <c r="M261" s="13"/>
      <c r="N261" s="13"/>
      <c r="O261" s="13"/>
      <c r="P261" s="13"/>
      <c r="Q261" s="13"/>
      <c r="R261" s="13"/>
      <c r="S261" s="13"/>
      <c r="T261" s="13"/>
      <c r="U261" s="13"/>
      <c r="V261" s="13"/>
      <c r="W261" s="13"/>
      <c r="X261" s="13"/>
      <c r="Y261" s="13"/>
      <c r="Z261" s="13"/>
    </row>
    <row r="262" ht="15.75" customHeight="1">
      <c r="A262" s="13"/>
      <c r="B262" s="13"/>
      <c r="C262" s="17"/>
      <c r="D262" s="17"/>
      <c r="E262" s="17"/>
      <c r="F262" s="17"/>
      <c r="G262" s="13"/>
      <c r="H262" s="13"/>
      <c r="I262" s="13"/>
      <c r="J262" s="13"/>
      <c r="K262" s="13"/>
      <c r="L262" s="13"/>
      <c r="M262" s="13"/>
      <c r="N262" s="13"/>
      <c r="O262" s="13"/>
      <c r="P262" s="13"/>
      <c r="Q262" s="13"/>
      <c r="R262" s="13"/>
      <c r="S262" s="13"/>
      <c r="T262" s="13"/>
      <c r="U262" s="13"/>
      <c r="V262" s="13"/>
      <c r="W262" s="13"/>
      <c r="X262" s="13"/>
      <c r="Y262" s="13"/>
      <c r="Z262" s="13"/>
    </row>
    <row r="263" ht="15.75" customHeight="1">
      <c r="A263" s="13"/>
      <c r="B263" s="13"/>
      <c r="C263" s="17"/>
      <c r="D263" s="17"/>
      <c r="E263" s="17"/>
      <c r="F263" s="17"/>
      <c r="G263" s="13"/>
      <c r="H263" s="13"/>
      <c r="I263" s="13"/>
      <c r="J263" s="13"/>
      <c r="K263" s="13"/>
      <c r="L263" s="13"/>
      <c r="M263" s="13"/>
      <c r="N263" s="13"/>
      <c r="O263" s="13"/>
      <c r="P263" s="13"/>
      <c r="Q263" s="13"/>
      <c r="R263" s="13"/>
      <c r="S263" s="13"/>
      <c r="T263" s="13"/>
      <c r="U263" s="13"/>
      <c r="V263" s="13"/>
      <c r="W263" s="13"/>
      <c r="X263" s="13"/>
      <c r="Y263" s="13"/>
      <c r="Z263" s="13"/>
    </row>
    <row r="264" ht="15.75" customHeight="1">
      <c r="A264" s="13"/>
      <c r="B264" s="13"/>
      <c r="C264" s="17"/>
      <c r="D264" s="17"/>
      <c r="E264" s="17"/>
      <c r="F264" s="17"/>
      <c r="G264" s="13"/>
      <c r="H264" s="13"/>
      <c r="I264" s="13"/>
      <c r="J264" s="13"/>
      <c r="K264" s="13"/>
      <c r="L264" s="13"/>
      <c r="M264" s="13"/>
      <c r="N264" s="13"/>
      <c r="O264" s="13"/>
      <c r="P264" s="13"/>
      <c r="Q264" s="13"/>
      <c r="R264" s="13"/>
      <c r="S264" s="13"/>
      <c r="T264" s="13"/>
      <c r="U264" s="13"/>
      <c r="V264" s="13"/>
      <c r="W264" s="13"/>
      <c r="X264" s="13"/>
      <c r="Y264" s="13"/>
      <c r="Z264" s="13"/>
    </row>
    <row r="265" ht="15.75" customHeight="1">
      <c r="A265" s="13"/>
      <c r="B265" s="13"/>
      <c r="C265" s="17"/>
      <c r="D265" s="17"/>
      <c r="E265" s="17"/>
      <c r="F265" s="17"/>
      <c r="G265" s="13"/>
      <c r="H265" s="13"/>
      <c r="I265" s="13"/>
      <c r="J265" s="13"/>
      <c r="K265" s="13"/>
      <c r="L265" s="13"/>
      <c r="M265" s="13"/>
      <c r="N265" s="13"/>
      <c r="O265" s="13"/>
      <c r="P265" s="13"/>
      <c r="Q265" s="13"/>
      <c r="R265" s="13"/>
      <c r="S265" s="13"/>
      <c r="T265" s="13"/>
      <c r="U265" s="13"/>
      <c r="V265" s="13"/>
      <c r="W265" s="13"/>
      <c r="X265" s="13"/>
      <c r="Y265" s="13"/>
      <c r="Z265" s="13"/>
    </row>
    <row r="266" ht="15.75" customHeight="1">
      <c r="A266" s="13"/>
      <c r="B266" s="13"/>
      <c r="C266" s="17"/>
      <c r="D266" s="17"/>
      <c r="E266" s="17"/>
      <c r="F266" s="17"/>
      <c r="G266" s="13"/>
      <c r="H266" s="13"/>
      <c r="I266" s="13"/>
      <c r="J266" s="13"/>
      <c r="K266" s="13"/>
      <c r="L266" s="13"/>
      <c r="M266" s="13"/>
      <c r="N266" s="13"/>
      <c r="O266" s="13"/>
      <c r="P266" s="13"/>
      <c r="Q266" s="13"/>
      <c r="R266" s="13"/>
      <c r="S266" s="13"/>
      <c r="T266" s="13"/>
      <c r="U266" s="13"/>
      <c r="V266" s="13"/>
      <c r="W266" s="13"/>
      <c r="X266" s="13"/>
      <c r="Y266" s="13"/>
      <c r="Z266" s="13"/>
    </row>
    <row r="267" ht="15.75" customHeight="1">
      <c r="A267" s="13"/>
      <c r="B267" s="13"/>
      <c r="C267" s="17"/>
      <c r="D267" s="17"/>
      <c r="E267" s="17"/>
      <c r="F267" s="17"/>
      <c r="G267" s="13"/>
      <c r="H267" s="13"/>
      <c r="I267" s="13"/>
      <c r="J267" s="13"/>
      <c r="K267" s="13"/>
      <c r="L267" s="13"/>
      <c r="M267" s="13"/>
      <c r="N267" s="13"/>
      <c r="O267" s="13"/>
      <c r="P267" s="13"/>
      <c r="Q267" s="13"/>
      <c r="R267" s="13"/>
      <c r="S267" s="13"/>
      <c r="T267" s="13"/>
      <c r="U267" s="13"/>
      <c r="V267" s="13"/>
      <c r="W267" s="13"/>
      <c r="X267" s="13"/>
      <c r="Y267" s="13"/>
      <c r="Z267" s="13"/>
    </row>
    <row r="268" ht="15.75" customHeight="1">
      <c r="A268" s="13"/>
      <c r="B268" s="13"/>
      <c r="C268" s="17"/>
      <c r="D268" s="17"/>
      <c r="E268" s="17"/>
      <c r="F268" s="17"/>
      <c r="G268" s="13"/>
      <c r="H268" s="13"/>
      <c r="I268" s="13"/>
      <c r="J268" s="13"/>
      <c r="K268" s="13"/>
      <c r="L268" s="13"/>
      <c r="M268" s="13"/>
      <c r="N268" s="13"/>
      <c r="O268" s="13"/>
      <c r="P268" s="13"/>
      <c r="Q268" s="13"/>
      <c r="R268" s="13"/>
      <c r="S268" s="13"/>
      <c r="T268" s="13"/>
      <c r="U268" s="13"/>
      <c r="V268" s="13"/>
      <c r="W268" s="13"/>
      <c r="X268" s="13"/>
      <c r="Y268" s="13"/>
      <c r="Z268" s="13"/>
    </row>
    <row r="269" ht="15.75" customHeight="1">
      <c r="A269" s="13"/>
      <c r="B269" s="13"/>
      <c r="C269" s="17"/>
      <c r="D269" s="17"/>
      <c r="E269" s="17"/>
      <c r="F269" s="17"/>
      <c r="G269" s="13"/>
      <c r="H269" s="13"/>
      <c r="I269" s="13"/>
      <c r="J269" s="13"/>
      <c r="K269" s="13"/>
      <c r="L269" s="13"/>
      <c r="M269" s="13"/>
      <c r="N269" s="13"/>
      <c r="O269" s="13"/>
      <c r="P269" s="13"/>
      <c r="Q269" s="13"/>
      <c r="R269" s="13"/>
      <c r="S269" s="13"/>
      <c r="T269" s="13"/>
      <c r="U269" s="13"/>
      <c r="V269" s="13"/>
      <c r="W269" s="13"/>
      <c r="X269" s="13"/>
      <c r="Y269" s="13"/>
      <c r="Z269" s="13"/>
    </row>
    <row r="270" ht="15.75" customHeight="1">
      <c r="A270" s="13"/>
      <c r="B270" s="13"/>
      <c r="C270" s="17"/>
      <c r="D270" s="17"/>
      <c r="E270" s="17"/>
      <c r="F270" s="17"/>
      <c r="G270" s="13"/>
      <c r="H270" s="13"/>
      <c r="I270" s="13"/>
      <c r="J270" s="13"/>
      <c r="K270" s="13"/>
      <c r="L270" s="13"/>
      <c r="M270" s="13"/>
      <c r="N270" s="13"/>
      <c r="O270" s="13"/>
      <c r="P270" s="13"/>
      <c r="Q270" s="13"/>
      <c r="R270" s="13"/>
      <c r="S270" s="13"/>
      <c r="T270" s="13"/>
      <c r="U270" s="13"/>
      <c r="V270" s="13"/>
      <c r="W270" s="13"/>
      <c r="X270" s="13"/>
      <c r="Y270" s="13"/>
      <c r="Z270" s="13"/>
    </row>
    <row r="271" ht="15.75" customHeight="1">
      <c r="A271" s="13"/>
      <c r="B271" s="13"/>
      <c r="C271" s="17"/>
      <c r="D271" s="17"/>
      <c r="E271" s="17"/>
      <c r="F271" s="17"/>
      <c r="G271" s="13"/>
      <c r="H271" s="13"/>
      <c r="I271" s="13"/>
      <c r="J271" s="13"/>
      <c r="K271" s="13"/>
      <c r="L271" s="13"/>
      <c r="M271" s="13"/>
      <c r="N271" s="13"/>
      <c r="O271" s="13"/>
      <c r="P271" s="13"/>
      <c r="Q271" s="13"/>
      <c r="R271" s="13"/>
      <c r="S271" s="13"/>
      <c r="T271" s="13"/>
      <c r="U271" s="13"/>
      <c r="V271" s="13"/>
      <c r="W271" s="13"/>
      <c r="X271" s="13"/>
      <c r="Y271" s="13"/>
      <c r="Z271" s="13"/>
    </row>
    <row r="272" ht="15.75" customHeight="1">
      <c r="A272" s="13"/>
      <c r="B272" s="13"/>
      <c r="C272" s="17"/>
      <c r="D272" s="17"/>
      <c r="E272" s="17"/>
      <c r="F272" s="17"/>
      <c r="G272" s="13"/>
      <c r="H272" s="13"/>
      <c r="I272" s="13"/>
      <c r="J272" s="13"/>
      <c r="K272" s="13"/>
      <c r="L272" s="13"/>
      <c r="M272" s="13"/>
      <c r="N272" s="13"/>
      <c r="O272" s="13"/>
      <c r="P272" s="13"/>
      <c r="Q272" s="13"/>
      <c r="R272" s="13"/>
      <c r="S272" s="13"/>
      <c r="T272" s="13"/>
      <c r="U272" s="13"/>
      <c r="V272" s="13"/>
      <c r="W272" s="13"/>
      <c r="X272" s="13"/>
      <c r="Y272" s="13"/>
      <c r="Z272" s="13"/>
    </row>
    <row r="273" ht="15.75" customHeight="1">
      <c r="A273" s="13"/>
      <c r="B273" s="13"/>
      <c r="C273" s="17"/>
      <c r="D273" s="17"/>
      <c r="E273" s="17"/>
      <c r="F273" s="17"/>
      <c r="G273" s="13"/>
      <c r="H273" s="13"/>
      <c r="I273" s="13"/>
      <c r="J273" s="13"/>
      <c r="K273" s="13"/>
      <c r="L273" s="13"/>
      <c r="M273" s="13"/>
      <c r="N273" s="13"/>
      <c r="O273" s="13"/>
      <c r="P273" s="13"/>
      <c r="Q273" s="13"/>
      <c r="R273" s="13"/>
      <c r="S273" s="13"/>
      <c r="T273" s="13"/>
      <c r="U273" s="13"/>
      <c r="V273" s="13"/>
      <c r="W273" s="13"/>
      <c r="X273" s="13"/>
      <c r="Y273" s="13"/>
      <c r="Z273" s="13"/>
    </row>
    <row r="274" ht="15.75" customHeight="1">
      <c r="A274" s="13"/>
      <c r="B274" s="13"/>
      <c r="C274" s="17"/>
      <c r="D274" s="17"/>
      <c r="E274" s="17"/>
      <c r="F274" s="17"/>
      <c r="G274" s="13"/>
      <c r="H274" s="13"/>
      <c r="I274" s="13"/>
      <c r="J274" s="13"/>
      <c r="K274" s="13"/>
      <c r="L274" s="13"/>
      <c r="M274" s="13"/>
      <c r="N274" s="13"/>
      <c r="O274" s="13"/>
      <c r="P274" s="13"/>
      <c r="Q274" s="13"/>
      <c r="R274" s="13"/>
      <c r="S274" s="13"/>
      <c r="T274" s="13"/>
      <c r="U274" s="13"/>
      <c r="V274" s="13"/>
      <c r="W274" s="13"/>
      <c r="X274" s="13"/>
      <c r="Y274" s="13"/>
      <c r="Z274" s="13"/>
    </row>
    <row r="275" ht="15.75" customHeight="1">
      <c r="A275" s="13"/>
      <c r="B275" s="13"/>
      <c r="C275" s="17"/>
      <c r="D275" s="17"/>
      <c r="E275" s="17"/>
      <c r="F275" s="17"/>
      <c r="G275" s="13"/>
      <c r="H275" s="13"/>
      <c r="I275" s="13"/>
      <c r="J275" s="13"/>
      <c r="K275" s="13"/>
      <c r="L275" s="13"/>
      <c r="M275" s="13"/>
      <c r="N275" s="13"/>
      <c r="O275" s="13"/>
      <c r="P275" s="13"/>
      <c r="Q275" s="13"/>
      <c r="R275" s="13"/>
      <c r="S275" s="13"/>
      <c r="T275" s="13"/>
      <c r="U275" s="13"/>
      <c r="V275" s="13"/>
      <c r="W275" s="13"/>
      <c r="X275" s="13"/>
      <c r="Y275" s="13"/>
      <c r="Z275" s="13"/>
    </row>
    <row r="276" ht="15.75" customHeight="1">
      <c r="A276" s="13"/>
      <c r="B276" s="13"/>
      <c r="C276" s="17"/>
      <c r="D276" s="17"/>
      <c r="E276" s="17"/>
      <c r="F276" s="17"/>
      <c r="G276" s="13"/>
      <c r="H276" s="13"/>
      <c r="I276" s="13"/>
      <c r="J276" s="13"/>
      <c r="K276" s="13"/>
      <c r="L276" s="13"/>
      <c r="M276" s="13"/>
      <c r="N276" s="13"/>
      <c r="O276" s="13"/>
      <c r="P276" s="13"/>
      <c r="Q276" s="13"/>
      <c r="R276" s="13"/>
      <c r="S276" s="13"/>
      <c r="T276" s="13"/>
      <c r="U276" s="13"/>
      <c r="V276" s="13"/>
      <c r="W276" s="13"/>
      <c r="X276" s="13"/>
      <c r="Y276" s="13"/>
      <c r="Z276" s="13"/>
    </row>
    <row r="277" ht="15.75" customHeight="1">
      <c r="A277" s="13"/>
      <c r="B277" s="13"/>
      <c r="C277" s="17"/>
      <c r="D277" s="17"/>
      <c r="E277" s="17"/>
      <c r="F277" s="17"/>
      <c r="G277" s="13"/>
      <c r="H277" s="13"/>
      <c r="I277" s="13"/>
      <c r="J277" s="13"/>
      <c r="K277" s="13"/>
      <c r="L277" s="13"/>
      <c r="M277" s="13"/>
      <c r="N277" s="13"/>
      <c r="O277" s="13"/>
      <c r="P277" s="13"/>
      <c r="Q277" s="13"/>
      <c r="R277" s="13"/>
      <c r="S277" s="13"/>
      <c r="T277" s="13"/>
      <c r="U277" s="13"/>
      <c r="V277" s="13"/>
      <c r="W277" s="13"/>
      <c r="X277" s="13"/>
      <c r="Y277" s="13"/>
      <c r="Z277" s="13"/>
    </row>
    <row r="278" ht="15.75" customHeight="1">
      <c r="A278" s="13"/>
      <c r="B278" s="13"/>
      <c r="C278" s="17"/>
      <c r="D278" s="17"/>
      <c r="E278" s="17"/>
      <c r="F278" s="17"/>
      <c r="G278" s="13"/>
      <c r="H278" s="13"/>
      <c r="I278" s="13"/>
      <c r="J278" s="13"/>
      <c r="K278" s="13"/>
      <c r="L278" s="13"/>
      <c r="M278" s="13"/>
      <c r="N278" s="13"/>
      <c r="O278" s="13"/>
      <c r="P278" s="13"/>
      <c r="Q278" s="13"/>
      <c r="R278" s="13"/>
      <c r="S278" s="13"/>
      <c r="T278" s="13"/>
      <c r="U278" s="13"/>
      <c r="V278" s="13"/>
      <c r="W278" s="13"/>
      <c r="X278" s="13"/>
      <c r="Y278" s="13"/>
      <c r="Z278" s="13"/>
    </row>
    <row r="279" ht="15.75" customHeight="1">
      <c r="A279" s="13"/>
      <c r="B279" s="13"/>
      <c r="C279" s="17"/>
      <c r="D279" s="17"/>
      <c r="E279" s="17"/>
      <c r="F279" s="17"/>
      <c r="G279" s="13"/>
      <c r="H279" s="13"/>
      <c r="I279" s="13"/>
      <c r="J279" s="13"/>
      <c r="K279" s="13"/>
      <c r="L279" s="13"/>
      <c r="M279" s="13"/>
      <c r="N279" s="13"/>
      <c r="O279" s="13"/>
      <c r="P279" s="13"/>
      <c r="Q279" s="13"/>
      <c r="R279" s="13"/>
      <c r="S279" s="13"/>
      <c r="T279" s="13"/>
      <c r="U279" s="13"/>
      <c r="V279" s="13"/>
      <c r="W279" s="13"/>
      <c r="X279" s="13"/>
      <c r="Y279" s="13"/>
      <c r="Z279" s="13"/>
    </row>
    <row r="280" ht="15.75" customHeight="1">
      <c r="A280" s="13"/>
      <c r="B280" s="13"/>
      <c r="C280" s="17"/>
      <c r="D280" s="17"/>
      <c r="E280" s="17"/>
      <c r="F280" s="17"/>
      <c r="G280" s="13"/>
      <c r="H280" s="13"/>
      <c r="I280" s="13"/>
      <c r="J280" s="13"/>
      <c r="K280" s="13"/>
      <c r="L280" s="13"/>
      <c r="M280" s="13"/>
      <c r="N280" s="13"/>
      <c r="O280" s="13"/>
      <c r="P280" s="13"/>
      <c r="Q280" s="13"/>
      <c r="R280" s="13"/>
      <c r="S280" s="13"/>
      <c r="T280" s="13"/>
      <c r="U280" s="13"/>
      <c r="V280" s="13"/>
      <c r="W280" s="13"/>
      <c r="X280" s="13"/>
      <c r="Y280" s="13"/>
      <c r="Z280" s="13"/>
    </row>
    <row r="281" ht="15.75" customHeight="1">
      <c r="A281" s="13"/>
      <c r="B281" s="13"/>
      <c r="C281" s="17"/>
      <c r="D281" s="17"/>
      <c r="E281" s="17"/>
      <c r="F281" s="17"/>
      <c r="G281" s="13"/>
      <c r="H281" s="13"/>
      <c r="I281" s="13"/>
      <c r="J281" s="13"/>
      <c r="K281" s="13"/>
      <c r="L281" s="13"/>
      <c r="M281" s="13"/>
      <c r="N281" s="13"/>
      <c r="O281" s="13"/>
      <c r="P281" s="13"/>
      <c r="Q281" s="13"/>
      <c r="R281" s="13"/>
      <c r="S281" s="13"/>
      <c r="T281" s="13"/>
      <c r="U281" s="13"/>
      <c r="V281" s="13"/>
      <c r="W281" s="13"/>
      <c r="X281" s="13"/>
      <c r="Y281" s="13"/>
      <c r="Z281" s="13"/>
    </row>
    <row r="282" ht="15.75" customHeight="1">
      <c r="A282" s="13"/>
      <c r="B282" s="13"/>
      <c r="C282" s="17"/>
      <c r="D282" s="17"/>
      <c r="E282" s="17"/>
      <c r="F282" s="17"/>
      <c r="G282" s="13"/>
      <c r="H282" s="13"/>
      <c r="I282" s="13"/>
      <c r="J282" s="13"/>
      <c r="K282" s="13"/>
      <c r="L282" s="13"/>
      <c r="M282" s="13"/>
      <c r="N282" s="13"/>
      <c r="O282" s="13"/>
      <c r="P282" s="13"/>
      <c r="Q282" s="13"/>
      <c r="R282" s="13"/>
      <c r="S282" s="13"/>
      <c r="T282" s="13"/>
      <c r="U282" s="13"/>
      <c r="V282" s="13"/>
      <c r="W282" s="13"/>
      <c r="X282" s="13"/>
      <c r="Y282" s="13"/>
      <c r="Z282" s="13"/>
    </row>
    <row r="283" ht="15.75" customHeight="1">
      <c r="A283" s="13"/>
      <c r="B283" s="13"/>
      <c r="C283" s="17"/>
      <c r="D283" s="17"/>
      <c r="E283" s="17"/>
      <c r="F283" s="17"/>
      <c r="G283" s="13"/>
      <c r="H283" s="13"/>
      <c r="I283" s="13"/>
      <c r="J283" s="13"/>
      <c r="K283" s="13"/>
      <c r="L283" s="13"/>
      <c r="M283" s="13"/>
      <c r="N283" s="13"/>
      <c r="O283" s="13"/>
      <c r="P283" s="13"/>
      <c r="Q283" s="13"/>
      <c r="R283" s="13"/>
      <c r="S283" s="13"/>
      <c r="T283" s="13"/>
      <c r="U283" s="13"/>
      <c r="V283" s="13"/>
      <c r="W283" s="13"/>
      <c r="X283" s="13"/>
      <c r="Y283" s="13"/>
      <c r="Z283" s="13"/>
    </row>
    <row r="284" ht="15.75" customHeight="1">
      <c r="A284" s="13"/>
      <c r="B284" s="13"/>
      <c r="C284" s="17"/>
      <c r="D284" s="17"/>
      <c r="E284" s="17"/>
      <c r="F284" s="17"/>
      <c r="G284" s="13"/>
      <c r="H284" s="13"/>
      <c r="I284" s="13"/>
      <c r="J284" s="13"/>
      <c r="K284" s="13"/>
      <c r="L284" s="13"/>
      <c r="M284" s="13"/>
      <c r="N284" s="13"/>
      <c r="O284" s="13"/>
      <c r="P284" s="13"/>
      <c r="Q284" s="13"/>
      <c r="R284" s="13"/>
      <c r="S284" s="13"/>
      <c r="T284" s="13"/>
      <c r="U284" s="13"/>
      <c r="V284" s="13"/>
      <c r="W284" s="13"/>
      <c r="X284" s="13"/>
      <c r="Y284" s="13"/>
      <c r="Z284" s="13"/>
    </row>
    <row r="285" ht="15.75" customHeight="1">
      <c r="A285" s="13"/>
      <c r="B285" s="13"/>
      <c r="C285" s="17"/>
      <c r="D285" s="17"/>
      <c r="E285" s="17"/>
      <c r="F285" s="17"/>
      <c r="G285" s="13"/>
      <c r="H285" s="13"/>
      <c r="I285" s="13"/>
      <c r="J285" s="13"/>
      <c r="K285" s="13"/>
      <c r="L285" s="13"/>
      <c r="M285" s="13"/>
      <c r="N285" s="13"/>
      <c r="O285" s="13"/>
      <c r="P285" s="13"/>
      <c r="Q285" s="13"/>
      <c r="R285" s="13"/>
      <c r="S285" s="13"/>
      <c r="T285" s="13"/>
      <c r="U285" s="13"/>
      <c r="V285" s="13"/>
      <c r="W285" s="13"/>
      <c r="X285" s="13"/>
      <c r="Y285" s="13"/>
      <c r="Z285" s="13"/>
    </row>
    <row r="286" ht="15.75" customHeight="1">
      <c r="A286" s="13"/>
      <c r="B286" s="13"/>
      <c r="C286" s="17"/>
      <c r="D286" s="17"/>
      <c r="E286" s="17"/>
      <c r="F286" s="17"/>
      <c r="G286" s="13"/>
      <c r="H286" s="13"/>
      <c r="I286" s="13"/>
      <c r="J286" s="13"/>
      <c r="K286" s="13"/>
      <c r="L286" s="13"/>
      <c r="M286" s="13"/>
      <c r="N286" s="13"/>
      <c r="O286" s="13"/>
      <c r="P286" s="13"/>
      <c r="Q286" s="13"/>
      <c r="R286" s="13"/>
      <c r="S286" s="13"/>
      <c r="T286" s="13"/>
      <c r="U286" s="13"/>
      <c r="V286" s="13"/>
      <c r="W286" s="13"/>
      <c r="X286" s="13"/>
      <c r="Y286" s="13"/>
      <c r="Z286" s="13"/>
    </row>
    <row r="287" ht="15.75" customHeight="1">
      <c r="A287" s="13"/>
      <c r="B287" s="13"/>
      <c r="C287" s="17"/>
      <c r="D287" s="17"/>
      <c r="E287" s="17"/>
      <c r="F287" s="17"/>
      <c r="G287" s="13"/>
      <c r="H287" s="13"/>
      <c r="I287" s="13"/>
      <c r="J287" s="13"/>
      <c r="K287" s="13"/>
      <c r="L287" s="13"/>
      <c r="M287" s="13"/>
      <c r="N287" s="13"/>
      <c r="O287" s="13"/>
      <c r="P287" s="13"/>
      <c r="Q287" s="13"/>
      <c r="R287" s="13"/>
      <c r="S287" s="13"/>
      <c r="T287" s="13"/>
      <c r="U287" s="13"/>
      <c r="V287" s="13"/>
      <c r="W287" s="13"/>
      <c r="X287" s="13"/>
      <c r="Y287" s="13"/>
      <c r="Z287" s="13"/>
    </row>
    <row r="288" ht="15.75" customHeight="1">
      <c r="A288" s="13"/>
      <c r="B288" s="13"/>
      <c r="C288" s="17"/>
      <c r="D288" s="17"/>
      <c r="E288" s="17"/>
      <c r="F288" s="17"/>
      <c r="G288" s="13"/>
      <c r="H288" s="13"/>
      <c r="I288" s="13"/>
      <c r="J288" s="13"/>
      <c r="K288" s="13"/>
      <c r="L288" s="13"/>
      <c r="M288" s="13"/>
      <c r="N288" s="13"/>
      <c r="O288" s="13"/>
      <c r="P288" s="13"/>
      <c r="Q288" s="13"/>
      <c r="R288" s="13"/>
      <c r="S288" s="13"/>
      <c r="T288" s="13"/>
      <c r="U288" s="13"/>
      <c r="V288" s="13"/>
      <c r="W288" s="13"/>
      <c r="X288" s="13"/>
      <c r="Y288" s="13"/>
      <c r="Z288" s="13"/>
    </row>
    <row r="289" ht="15.75" customHeight="1">
      <c r="A289" s="13"/>
      <c r="B289" s="13"/>
      <c r="C289" s="17"/>
      <c r="D289" s="17"/>
      <c r="E289" s="17"/>
      <c r="F289" s="17"/>
      <c r="G289" s="13"/>
      <c r="H289" s="13"/>
      <c r="I289" s="13"/>
      <c r="J289" s="13"/>
      <c r="K289" s="13"/>
      <c r="L289" s="13"/>
      <c r="M289" s="13"/>
      <c r="N289" s="13"/>
      <c r="O289" s="13"/>
      <c r="P289" s="13"/>
      <c r="Q289" s="13"/>
      <c r="R289" s="13"/>
      <c r="S289" s="13"/>
      <c r="T289" s="13"/>
      <c r="U289" s="13"/>
      <c r="V289" s="13"/>
      <c r="W289" s="13"/>
      <c r="X289" s="13"/>
      <c r="Y289" s="13"/>
      <c r="Z289" s="13"/>
    </row>
    <row r="290" ht="15.75" customHeight="1">
      <c r="A290" s="13"/>
      <c r="B290" s="13"/>
      <c r="C290" s="17"/>
      <c r="D290" s="17"/>
      <c r="E290" s="17"/>
      <c r="F290" s="17"/>
      <c r="G290" s="13"/>
      <c r="H290" s="13"/>
      <c r="I290" s="13"/>
      <c r="J290" s="13"/>
      <c r="K290" s="13"/>
      <c r="L290" s="13"/>
      <c r="M290" s="13"/>
      <c r="N290" s="13"/>
      <c r="O290" s="13"/>
      <c r="P290" s="13"/>
      <c r="Q290" s="13"/>
      <c r="R290" s="13"/>
      <c r="S290" s="13"/>
      <c r="T290" s="13"/>
      <c r="U290" s="13"/>
      <c r="V290" s="13"/>
      <c r="W290" s="13"/>
      <c r="X290" s="13"/>
      <c r="Y290" s="13"/>
      <c r="Z290" s="13"/>
    </row>
    <row r="291" ht="15.75" customHeight="1">
      <c r="A291" s="13"/>
      <c r="B291" s="13"/>
      <c r="C291" s="17"/>
      <c r="D291" s="17"/>
      <c r="E291" s="17"/>
      <c r="F291" s="17"/>
      <c r="G291" s="13"/>
      <c r="H291" s="13"/>
      <c r="I291" s="13"/>
      <c r="J291" s="13"/>
      <c r="K291" s="13"/>
      <c r="L291" s="13"/>
      <c r="M291" s="13"/>
      <c r="N291" s="13"/>
      <c r="O291" s="13"/>
      <c r="P291" s="13"/>
      <c r="Q291" s="13"/>
      <c r="R291" s="13"/>
      <c r="S291" s="13"/>
      <c r="T291" s="13"/>
      <c r="U291" s="13"/>
      <c r="V291" s="13"/>
      <c r="W291" s="13"/>
      <c r="X291" s="13"/>
      <c r="Y291" s="13"/>
      <c r="Z291" s="13"/>
    </row>
    <row r="292" ht="15.75" customHeight="1">
      <c r="A292" s="13"/>
      <c r="B292" s="13"/>
      <c r="C292" s="17"/>
      <c r="D292" s="17"/>
      <c r="E292" s="17"/>
      <c r="F292" s="17"/>
      <c r="G292" s="13"/>
      <c r="H292" s="13"/>
      <c r="I292" s="13"/>
      <c r="J292" s="13"/>
      <c r="K292" s="13"/>
      <c r="L292" s="13"/>
      <c r="M292" s="13"/>
      <c r="N292" s="13"/>
      <c r="O292" s="13"/>
      <c r="P292" s="13"/>
      <c r="Q292" s="13"/>
      <c r="R292" s="13"/>
      <c r="S292" s="13"/>
      <c r="T292" s="13"/>
      <c r="U292" s="13"/>
      <c r="V292" s="13"/>
      <c r="W292" s="13"/>
      <c r="X292" s="13"/>
      <c r="Y292" s="13"/>
      <c r="Z292" s="13"/>
    </row>
    <row r="293" ht="15.75" customHeight="1">
      <c r="A293" s="13"/>
      <c r="B293" s="13"/>
      <c r="C293" s="17"/>
      <c r="D293" s="17"/>
      <c r="E293" s="17"/>
      <c r="F293" s="17"/>
      <c r="G293" s="13"/>
      <c r="H293" s="13"/>
      <c r="I293" s="13"/>
      <c r="J293" s="13"/>
      <c r="K293" s="13"/>
      <c r="L293" s="13"/>
      <c r="M293" s="13"/>
      <c r="N293" s="13"/>
      <c r="O293" s="13"/>
      <c r="P293" s="13"/>
      <c r="Q293" s="13"/>
      <c r="R293" s="13"/>
      <c r="S293" s="13"/>
      <c r="T293" s="13"/>
      <c r="U293" s="13"/>
      <c r="V293" s="13"/>
      <c r="W293" s="13"/>
      <c r="X293" s="13"/>
      <c r="Y293" s="13"/>
      <c r="Z293" s="13"/>
    </row>
    <row r="294" ht="15.75" customHeight="1">
      <c r="A294" s="13"/>
      <c r="B294" s="13"/>
      <c r="C294" s="17"/>
      <c r="D294" s="17"/>
      <c r="E294" s="17"/>
      <c r="F294" s="17"/>
      <c r="G294" s="13"/>
      <c r="H294" s="13"/>
      <c r="I294" s="13"/>
      <c r="J294" s="13"/>
      <c r="K294" s="13"/>
      <c r="L294" s="13"/>
      <c r="M294" s="13"/>
      <c r="N294" s="13"/>
      <c r="O294" s="13"/>
      <c r="P294" s="13"/>
      <c r="Q294" s="13"/>
      <c r="R294" s="13"/>
      <c r="S294" s="13"/>
      <c r="T294" s="13"/>
      <c r="U294" s="13"/>
      <c r="V294" s="13"/>
      <c r="W294" s="13"/>
      <c r="X294" s="13"/>
      <c r="Y294" s="13"/>
      <c r="Z294" s="13"/>
    </row>
    <row r="295" ht="15.75" customHeight="1">
      <c r="A295" s="13"/>
      <c r="B295" s="13"/>
      <c r="C295" s="17"/>
      <c r="D295" s="17"/>
      <c r="E295" s="17"/>
      <c r="F295" s="17"/>
      <c r="G295" s="13"/>
      <c r="H295" s="13"/>
      <c r="I295" s="13"/>
      <c r="J295" s="13"/>
      <c r="K295" s="13"/>
      <c r="L295" s="13"/>
      <c r="M295" s="13"/>
      <c r="N295" s="13"/>
      <c r="O295" s="13"/>
      <c r="P295" s="13"/>
      <c r="Q295" s="13"/>
      <c r="R295" s="13"/>
      <c r="S295" s="13"/>
      <c r="T295" s="13"/>
      <c r="U295" s="13"/>
      <c r="V295" s="13"/>
      <c r="W295" s="13"/>
      <c r="X295" s="13"/>
      <c r="Y295" s="13"/>
      <c r="Z295" s="13"/>
    </row>
    <row r="296" ht="15.75" customHeight="1">
      <c r="A296" s="13"/>
      <c r="B296" s="13"/>
      <c r="C296" s="17"/>
      <c r="D296" s="17"/>
      <c r="E296" s="17"/>
      <c r="F296" s="17"/>
      <c r="G296" s="13"/>
      <c r="H296" s="13"/>
      <c r="I296" s="13"/>
      <c r="J296" s="13"/>
      <c r="K296" s="13"/>
      <c r="L296" s="13"/>
      <c r="M296" s="13"/>
      <c r="N296" s="13"/>
      <c r="O296" s="13"/>
      <c r="P296" s="13"/>
      <c r="Q296" s="13"/>
      <c r="R296" s="13"/>
      <c r="S296" s="13"/>
      <c r="T296" s="13"/>
      <c r="U296" s="13"/>
      <c r="V296" s="13"/>
      <c r="W296" s="13"/>
      <c r="X296" s="13"/>
      <c r="Y296" s="13"/>
      <c r="Z296" s="13"/>
    </row>
    <row r="297" ht="15.75" customHeight="1">
      <c r="A297" s="13"/>
      <c r="B297" s="13"/>
      <c r="C297" s="17"/>
      <c r="D297" s="17"/>
      <c r="E297" s="17"/>
      <c r="F297" s="17"/>
      <c r="G297" s="13"/>
      <c r="H297" s="13"/>
      <c r="I297" s="13"/>
      <c r="J297" s="13"/>
      <c r="K297" s="13"/>
      <c r="L297" s="13"/>
      <c r="M297" s="13"/>
      <c r="N297" s="13"/>
      <c r="O297" s="13"/>
      <c r="P297" s="13"/>
      <c r="Q297" s="13"/>
      <c r="R297" s="13"/>
      <c r="S297" s="13"/>
      <c r="T297" s="13"/>
      <c r="U297" s="13"/>
      <c r="V297" s="13"/>
      <c r="W297" s="13"/>
      <c r="X297" s="13"/>
      <c r="Y297" s="13"/>
      <c r="Z297" s="13"/>
    </row>
    <row r="298" ht="15.75" customHeight="1">
      <c r="A298" s="13"/>
      <c r="B298" s="13"/>
      <c r="C298" s="17"/>
      <c r="D298" s="17"/>
      <c r="E298" s="17"/>
      <c r="F298" s="17"/>
      <c r="G298" s="13"/>
      <c r="H298" s="13"/>
      <c r="I298" s="13"/>
      <c r="J298" s="13"/>
      <c r="K298" s="13"/>
      <c r="L298" s="13"/>
      <c r="M298" s="13"/>
      <c r="N298" s="13"/>
      <c r="O298" s="13"/>
      <c r="P298" s="13"/>
      <c r="Q298" s="13"/>
      <c r="R298" s="13"/>
      <c r="S298" s="13"/>
      <c r="T298" s="13"/>
      <c r="U298" s="13"/>
      <c r="V298" s="13"/>
      <c r="W298" s="13"/>
      <c r="X298" s="13"/>
      <c r="Y298" s="13"/>
      <c r="Z298" s="13"/>
    </row>
    <row r="299" ht="15.75" customHeight="1">
      <c r="A299" s="13"/>
      <c r="B299" s="13"/>
      <c r="C299" s="17"/>
      <c r="D299" s="17"/>
      <c r="E299" s="17"/>
      <c r="F299" s="17"/>
      <c r="G299" s="13"/>
      <c r="H299" s="13"/>
      <c r="I299" s="13"/>
      <c r="J299" s="13"/>
      <c r="K299" s="13"/>
      <c r="L299" s="13"/>
      <c r="M299" s="13"/>
      <c r="N299" s="13"/>
      <c r="O299" s="13"/>
      <c r="P299" s="13"/>
      <c r="Q299" s="13"/>
      <c r="R299" s="13"/>
      <c r="S299" s="13"/>
      <c r="T299" s="13"/>
      <c r="U299" s="13"/>
      <c r="V299" s="13"/>
      <c r="W299" s="13"/>
      <c r="X299" s="13"/>
      <c r="Y299" s="13"/>
      <c r="Z299" s="13"/>
    </row>
    <row r="300" ht="15.75" customHeight="1">
      <c r="A300" s="13"/>
      <c r="B300" s="13"/>
      <c r="C300" s="17"/>
      <c r="D300" s="17"/>
      <c r="E300" s="17"/>
      <c r="F300" s="17"/>
      <c r="G300" s="13"/>
      <c r="H300" s="13"/>
      <c r="I300" s="13"/>
      <c r="J300" s="13"/>
      <c r="K300" s="13"/>
      <c r="L300" s="13"/>
      <c r="M300" s="13"/>
      <c r="N300" s="13"/>
      <c r="O300" s="13"/>
      <c r="P300" s="13"/>
      <c r="Q300" s="13"/>
      <c r="R300" s="13"/>
      <c r="S300" s="13"/>
      <c r="T300" s="13"/>
      <c r="U300" s="13"/>
      <c r="V300" s="13"/>
      <c r="W300" s="13"/>
      <c r="X300" s="13"/>
      <c r="Y300" s="13"/>
      <c r="Z300" s="13"/>
    </row>
    <row r="301" ht="15.75" customHeight="1">
      <c r="A301" s="13"/>
      <c r="B301" s="13"/>
      <c r="C301" s="17"/>
      <c r="D301" s="17"/>
      <c r="E301" s="17"/>
      <c r="F301" s="17"/>
      <c r="G301" s="13"/>
      <c r="H301" s="13"/>
      <c r="I301" s="13"/>
      <c r="J301" s="13"/>
      <c r="K301" s="13"/>
      <c r="L301" s="13"/>
      <c r="M301" s="13"/>
      <c r="N301" s="13"/>
      <c r="O301" s="13"/>
      <c r="P301" s="13"/>
      <c r="Q301" s="13"/>
      <c r="R301" s="13"/>
      <c r="S301" s="13"/>
      <c r="T301" s="13"/>
      <c r="U301" s="13"/>
      <c r="V301" s="13"/>
      <c r="W301" s="13"/>
      <c r="X301" s="13"/>
      <c r="Y301" s="13"/>
      <c r="Z301" s="13"/>
    </row>
    <row r="302" ht="15.75" customHeight="1">
      <c r="A302" s="13"/>
      <c r="B302" s="13"/>
      <c r="C302" s="17"/>
      <c r="D302" s="17"/>
      <c r="E302" s="17"/>
      <c r="F302" s="17"/>
      <c r="G302" s="13"/>
      <c r="H302" s="13"/>
      <c r="I302" s="13"/>
      <c r="J302" s="13"/>
      <c r="K302" s="13"/>
      <c r="L302" s="13"/>
      <c r="M302" s="13"/>
      <c r="N302" s="13"/>
      <c r="O302" s="13"/>
      <c r="P302" s="13"/>
      <c r="Q302" s="13"/>
      <c r="R302" s="13"/>
      <c r="S302" s="13"/>
      <c r="T302" s="13"/>
      <c r="U302" s="13"/>
      <c r="V302" s="13"/>
      <c r="W302" s="13"/>
      <c r="X302" s="13"/>
      <c r="Y302" s="13"/>
      <c r="Z302" s="13"/>
    </row>
    <row r="303" ht="15.75" customHeight="1">
      <c r="A303" s="13"/>
      <c r="B303" s="13"/>
      <c r="C303" s="17"/>
      <c r="D303" s="17"/>
      <c r="E303" s="17"/>
      <c r="F303" s="17"/>
      <c r="G303" s="13"/>
      <c r="H303" s="13"/>
      <c r="I303" s="13"/>
      <c r="J303" s="13"/>
      <c r="K303" s="13"/>
      <c r="L303" s="13"/>
      <c r="M303" s="13"/>
      <c r="N303" s="13"/>
      <c r="O303" s="13"/>
      <c r="P303" s="13"/>
      <c r="Q303" s="13"/>
      <c r="R303" s="13"/>
      <c r="S303" s="13"/>
      <c r="T303" s="13"/>
      <c r="U303" s="13"/>
      <c r="V303" s="13"/>
      <c r="W303" s="13"/>
      <c r="X303" s="13"/>
      <c r="Y303" s="13"/>
      <c r="Z303" s="13"/>
    </row>
    <row r="304" ht="15.75" customHeight="1">
      <c r="A304" s="13"/>
      <c r="B304" s="13"/>
      <c r="C304" s="17"/>
      <c r="D304" s="17"/>
      <c r="E304" s="17"/>
      <c r="F304" s="17"/>
      <c r="G304" s="13"/>
      <c r="H304" s="13"/>
      <c r="I304" s="13"/>
      <c r="J304" s="13"/>
      <c r="K304" s="13"/>
      <c r="L304" s="13"/>
      <c r="M304" s="13"/>
      <c r="N304" s="13"/>
      <c r="O304" s="13"/>
      <c r="P304" s="13"/>
      <c r="Q304" s="13"/>
      <c r="R304" s="13"/>
      <c r="S304" s="13"/>
      <c r="T304" s="13"/>
      <c r="U304" s="13"/>
      <c r="V304" s="13"/>
      <c r="W304" s="13"/>
      <c r="X304" s="13"/>
      <c r="Y304" s="13"/>
      <c r="Z304" s="13"/>
    </row>
    <row r="305" ht="15.75" customHeight="1">
      <c r="A305" s="13"/>
      <c r="B305" s="13"/>
      <c r="C305" s="17"/>
      <c r="D305" s="17"/>
      <c r="E305" s="17"/>
      <c r="F305" s="17"/>
      <c r="G305" s="13"/>
      <c r="H305" s="13"/>
      <c r="I305" s="13"/>
      <c r="J305" s="13"/>
      <c r="K305" s="13"/>
      <c r="L305" s="13"/>
      <c r="M305" s="13"/>
      <c r="N305" s="13"/>
      <c r="O305" s="13"/>
      <c r="P305" s="13"/>
      <c r="Q305" s="13"/>
      <c r="R305" s="13"/>
      <c r="S305" s="13"/>
      <c r="T305" s="13"/>
      <c r="U305" s="13"/>
      <c r="V305" s="13"/>
      <c r="W305" s="13"/>
      <c r="X305" s="13"/>
      <c r="Y305" s="13"/>
      <c r="Z305" s="13"/>
    </row>
    <row r="306" ht="15.75" customHeight="1">
      <c r="A306" s="13"/>
      <c r="B306" s="13"/>
      <c r="C306" s="17"/>
      <c r="D306" s="17"/>
      <c r="E306" s="17"/>
      <c r="F306" s="17"/>
      <c r="G306" s="13"/>
      <c r="H306" s="13"/>
      <c r="I306" s="13"/>
      <c r="J306" s="13"/>
      <c r="K306" s="13"/>
      <c r="L306" s="13"/>
      <c r="M306" s="13"/>
      <c r="N306" s="13"/>
      <c r="O306" s="13"/>
      <c r="P306" s="13"/>
      <c r="Q306" s="13"/>
      <c r="R306" s="13"/>
      <c r="S306" s="13"/>
      <c r="T306" s="13"/>
      <c r="U306" s="13"/>
      <c r="V306" s="13"/>
      <c r="W306" s="13"/>
      <c r="X306" s="13"/>
      <c r="Y306" s="13"/>
      <c r="Z306" s="13"/>
    </row>
    <row r="307" ht="15.75" customHeight="1">
      <c r="A307" s="13"/>
      <c r="B307" s="13"/>
      <c r="C307" s="17"/>
      <c r="D307" s="17"/>
      <c r="E307" s="17"/>
      <c r="F307" s="17"/>
      <c r="G307" s="13"/>
      <c r="H307" s="13"/>
      <c r="I307" s="13"/>
      <c r="J307" s="13"/>
      <c r="K307" s="13"/>
      <c r="L307" s="13"/>
      <c r="M307" s="13"/>
      <c r="N307" s="13"/>
      <c r="O307" s="13"/>
      <c r="P307" s="13"/>
      <c r="Q307" s="13"/>
      <c r="R307" s="13"/>
      <c r="S307" s="13"/>
      <c r="T307" s="13"/>
      <c r="U307" s="13"/>
      <c r="V307" s="13"/>
      <c r="W307" s="13"/>
      <c r="X307" s="13"/>
      <c r="Y307" s="13"/>
      <c r="Z307" s="13"/>
    </row>
    <row r="308" ht="15.75" customHeight="1">
      <c r="A308" s="13"/>
      <c r="B308" s="13"/>
      <c r="C308" s="17"/>
      <c r="D308" s="17"/>
      <c r="E308" s="17"/>
      <c r="F308" s="17"/>
      <c r="G308" s="13"/>
      <c r="H308" s="13"/>
      <c r="I308" s="13"/>
      <c r="J308" s="13"/>
      <c r="K308" s="13"/>
      <c r="L308" s="13"/>
      <c r="M308" s="13"/>
      <c r="N308" s="13"/>
      <c r="O308" s="13"/>
      <c r="P308" s="13"/>
      <c r="Q308" s="13"/>
      <c r="R308" s="13"/>
      <c r="S308" s="13"/>
      <c r="T308" s="13"/>
      <c r="U308" s="13"/>
      <c r="V308" s="13"/>
      <c r="W308" s="13"/>
      <c r="X308" s="13"/>
      <c r="Y308" s="13"/>
      <c r="Z308" s="13"/>
    </row>
    <row r="309" ht="15.75" customHeight="1">
      <c r="A309" s="13"/>
      <c r="B309" s="13"/>
      <c r="C309" s="17"/>
      <c r="D309" s="17"/>
      <c r="E309" s="17"/>
      <c r="F309" s="17"/>
      <c r="G309" s="13"/>
      <c r="H309" s="13"/>
      <c r="I309" s="13"/>
      <c r="J309" s="13"/>
      <c r="K309" s="13"/>
      <c r="L309" s="13"/>
      <c r="M309" s="13"/>
      <c r="N309" s="13"/>
      <c r="O309" s="13"/>
      <c r="P309" s="13"/>
      <c r="Q309" s="13"/>
      <c r="R309" s="13"/>
      <c r="S309" s="13"/>
      <c r="T309" s="13"/>
      <c r="U309" s="13"/>
      <c r="V309" s="13"/>
      <c r="W309" s="13"/>
      <c r="X309" s="13"/>
      <c r="Y309" s="13"/>
      <c r="Z309" s="13"/>
    </row>
    <row r="310" ht="15.75" customHeight="1">
      <c r="A310" s="13"/>
      <c r="B310" s="13"/>
      <c r="C310" s="17"/>
      <c r="D310" s="17"/>
      <c r="E310" s="17"/>
      <c r="F310" s="17"/>
      <c r="G310" s="13"/>
      <c r="H310" s="13"/>
      <c r="I310" s="13"/>
      <c r="J310" s="13"/>
      <c r="K310" s="13"/>
      <c r="L310" s="13"/>
      <c r="M310" s="13"/>
      <c r="N310" s="13"/>
      <c r="O310" s="13"/>
      <c r="P310" s="13"/>
      <c r="Q310" s="13"/>
      <c r="R310" s="13"/>
      <c r="S310" s="13"/>
      <c r="T310" s="13"/>
      <c r="U310" s="13"/>
      <c r="V310" s="13"/>
      <c r="W310" s="13"/>
      <c r="X310" s="13"/>
      <c r="Y310" s="13"/>
      <c r="Z310" s="13"/>
    </row>
    <row r="311" ht="15.75" customHeight="1">
      <c r="A311" s="13"/>
      <c r="B311" s="13"/>
      <c r="C311" s="17"/>
      <c r="D311" s="17"/>
      <c r="E311" s="17"/>
      <c r="F311" s="17"/>
      <c r="G311" s="13"/>
      <c r="H311" s="13"/>
      <c r="I311" s="13"/>
      <c r="J311" s="13"/>
      <c r="K311" s="13"/>
      <c r="L311" s="13"/>
      <c r="M311" s="13"/>
      <c r="N311" s="13"/>
      <c r="O311" s="13"/>
      <c r="P311" s="13"/>
      <c r="Q311" s="13"/>
      <c r="R311" s="13"/>
      <c r="S311" s="13"/>
      <c r="T311" s="13"/>
      <c r="U311" s="13"/>
      <c r="V311" s="13"/>
      <c r="W311" s="13"/>
      <c r="X311" s="13"/>
      <c r="Y311" s="13"/>
      <c r="Z311" s="13"/>
    </row>
    <row r="312" ht="15.75" customHeight="1">
      <c r="A312" s="13"/>
      <c r="B312" s="13"/>
      <c r="C312" s="17"/>
      <c r="D312" s="17"/>
      <c r="E312" s="17"/>
      <c r="F312" s="17"/>
      <c r="G312" s="13"/>
      <c r="H312" s="13"/>
      <c r="I312" s="13"/>
      <c r="J312" s="13"/>
      <c r="K312" s="13"/>
      <c r="L312" s="13"/>
      <c r="M312" s="13"/>
      <c r="N312" s="13"/>
      <c r="O312" s="13"/>
      <c r="P312" s="13"/>
      <c r="Q312" s="13"/>
      <c r="R312" s="13"/>
      <c r="S312" s="13"/>
      <c r="T312" s="13"/>
      <c r="U312" s="13"/>
      <c r="V312" s="13"/>
      <c r="W312" s="13"/>
      <c r="X312" s="13"/>
      <c r="Y312" s="13"/>
      <c r="Z312" s="13"/>
    </row>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4"/>
    <pageSetUpPr/>
  </sheetPr>
  <sheetViews>
    <sheetView workbookViewId="0"/>
  </sheetViews>
  <sheetFormatPr customHeight="1" defaultColWidth="12.63" defaultRowHeight="15.0"/>
  <cols>
    <col customWidth="1" min="1" max="6" width="10.63"/>
  </cols>
  <sheetData>
    <row r="1" ht="13.5" customHeight="1"/>
    <row r="2" ht="13.5" customHeight="1">
      <c r="B2" s="35" t="s">
        <v>42</v>
      </c>
    </row>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3.0" topLeftCell="C4" activePane="bottomRight" state="frozen"/>
      <selection activeCell="C1" sqref="C1" pane="topRight"/>
      <selection activeCell="A4" sqref="A4" pane="bottomLeft"/>
      <selection activeCell="C4" sqref="C4" pane="bottomRight"/>
    </sheetView>
  </sheetViews>
  <sheetFormatPr customHeight="1" defaultColWidth="12.63" defaultRowHeight="15.0"/>
  <cols>
    <col customWidth="1" min="1" max="1" width="2.63"/>
    <col customWidth="1" min="2" max="2" width="35.63"/>
    <col customWidth="1" min="3" max="3" width="13.38"/>
    <col customWidth="1" min="4" max="4" width="11.88"/>
    <col customWidth="1" min="5" max="12" width="10.88"/>
    <col customWidth="1" min="13" max="14" width="14.38"/>
    <col customWidth="1" min="15" max="26" width="10.63"/>
  </cols>
  <sheetData>
    <row r="1">
      <c r="A1" s="13"/>
      <c r="B1" s="13"/>
      <c r="C1" s="13"/>
      <c r="D1" s="13"/>
      <c r="E1" s="13"/>
      <c r="F1" s="13"/>
      <c r="G1" s="13"/>
      <c r="H1" s="13"/>
      <c r="I1" s="13"/>
      <c r="J1" s="13"/>
      <c r="K1" s="13"/>
      <c r="L1" s="13"/>
      <c r="M1" s="13"/>
      <c r="N1" s="13"/>
      <c r="O1" s="13"/>
      <c r="P1" s="13"/>
      <c r="Q1" s="13"/>
      <c r="R1" s="13"/>
      <c r="S1" s="13"/>
      <c r="T1" s="13"/>
      <c r="U1" s="13"/>
      <c r="V1" s="13"/>
      <c r="W1" s="13"/>
      <c r="X1" s="13"/>
      <c r="Y1" s="13"/>
      <c r="Z1" s="13"/>
    </row>
    <row r="2">
      <c r="A2" s="13"/>
      <c r="B2" s="13"/>
      <c r="C2" s="13"/>
      <c r="D2" s="13"/>
      <c r="E2" s="13"/>
      <c r="F2" s="13"/>
      <c r="G2" s="13"/>
      <c r="H2" s="13"/>
      <c r="I2" s="13"/>
      <c r="J2" s="13"/>
      <c r="K2" s="13"/>
      <c r="L2" s="13"/>
      <c r="M2" s="13"/>
      <c r="N2" s="13"/>
      <c r="O2" s="13"/>
      <c r="P2" s="13"/>
      <c r="Q2" s="13"/>
      <c r="R2" s="13"/>
      <c r="S2" s="13"/>
      <c r="T2" s="13"/>
      <c r="U2" s="13"/>
      <c r="V2" s="13"/>
      <c r="W2" s="13"/>
      <c r="X2" s="13"/>
      <c r="Y2" s="13"/>
      <c r="Z2" s="13"/>
    </row>
    <row r="3">
      <c r="A3" s="13"/>
      <c r="B3" s="13"/>
      <c r="C3" s="459" t="s">
        <v>713</v>
      </c>
      <c r="D3" s="460"/>
      <c r="E3" s="13"/>
      <c r="F3" s="13"/>
      <c r="G3" s="13"/>
      <c r="H3" s="13"/>
      <c r="I3" s="459" t="s">
        <v>714</v>
      </c>
      <c r="J3" s="460"/>
      <c r="K3" s="13"/>
      <c r="L3" s="13"/>
      <c r="M3" s="13"/>
      <c r="N3" s="13"/>
      <c r="O3" s="13"/>
      <c r="P3" s="13"/>
      <c r="Q3" s="13"/>
      <c r="R3" s="13"/>
      <c r="S3" s="13"/>
      <c r="T3" s="13"/>
      <c r="U3" s="13"/>
      <c r="V3" s="13"/>
      <c r="W3" s="13"/>
      <c r="X3" s="13"/>
      <c r="Y3" s="13"/>
      <c r="Z3" s="13"/>
    </row>
    <row r="4">
      <c r="A4" s="13"/>
      <c r="B4" s="13" t="s">
        <v>715</v>
      </c>
      <c r="C4" s="462">
        <v>2022.0</v>
      </c>
      <c r="D4" s="17"/>
      <c r="E4" s="13"/>
      <c r="F4" s="13"/>
      <c r="G4" s="13"/>
      <c r="H4" s="13" t="s">
        <v>715</v>
      </c>
      <c r="I4" s="462">
        <v>2022.0</v>
      </c>
      <c r="J4" s="17"/>
      <c r="K4" s="13"/>
      <c r="L4" s="13"/>
      <c r="M4" s="13"/>
      <c r="N4" s="13"/>
      <c r="O4" s="13"/>
      <c r="P4" s="13"/>
      <c r="Q4" s="13"/>
      <c r="R4" s="13"/>
      <c r="S4" s="13"/>
      <c r="T4" s="13"/>
      <c r="U4" s="13"/>
      <c r="V4" s="13"/>
      <c r="W4" s="13"/>
      <c r="X4" s="13"/>
      <c r="Y4" s="13"/>
      <c r="Z4" s="13"/>
    </row>
    <row r="5">
      <c r="A5" s="13"/>
      <c r="B5" s="13" t="s">
        <v>716</v>
      </c>
      <c r="C5" s="462">
        <v>130.0</v>
      </c>
      <c r="D5" s="17"/>
      <c r="E5" s="13"/>
      <c r="F5" s="13"/>
      <c r="G5" s="13"/>
      <c r="H5" s="13" t="s">
        <v>716</v>
      </c>
      <c r="I5" s="462">
        <v>124.0</v>
      </c>
      <c r="J5" s="17"/>
      <c r="K5" s="13"/>
      <c r="L5" s="13"/>
      <c r="M5" s="13"/>
      <c r="N5" s="13"/>
      <c r="O5" s="13"/>
      <c r="P5" s="13"/>
      <c r="Q5" s="13"/>
      <c r="R5" s="13"/>
      <c r="S5" s="13"/>
      <c r="T5" s="13"/>
      <c r="U5" s="13"/>
      <c r="V5" s="13"/>
      <c r="W5" s="13"/>
      <c r="X5" s="13"/>
      <c r="Y5" s="13"/>
      <c r="Z5" s="13"/>
    </row>
    <row r="6">
      <c r="A6" s="13"/>
      <c r="B6" s="182"/>
      <c r="C6" s="474" t="s">
        <v>407</v>
      </c>
      <c r="D6" s="474" t="s">
        <v>261</v>
      </c>
      <c r="E6" s="436" t="s">
        <v>262</v>
      </c>
      <c r="F6" s="13"/>
      <c r="G6" s="13"/>
      <c r="H6" s="182"/>
      <c r="I6" s="474" t="s">
        <v>407</v>
      </c>
      <c r="J6" s="474" t="s">
        <v>261</v>
      </c>
      <c r="K6" s="436" t="s">
        <v>262</v>
      </c>
      <c r="L6" s="13"/>
      <c r="M6" s="90" t="s">
        <v>775</v>
      </c>
      <c r="N6" s="90" t="s">
        <v>776</v>
      </c>
      <c r="O6" s="13"/>
      <c r="P6" s="13"/>
      <c r="Q6" s="13"/>
      <c r="R6" s="13"/>
      <c r="S6" s="13"/>
      <c r="T6" s="13"/>
      <c r="U6" s="13"/>
      <c r="V6" s="13"/>
      <c r="W6" s="13"/>
      <c r="X6" s="13"/>
      <c r="Y6" s="13"/>
      <c r="Z6" s="13"/>
    </row>
    <row r="7">
      <c r="A7" s="13"/>
      <c r="B7" s="13" t="s">
        <v>777</v>
      </c>
      <c r="C7" s="465">
        <v>1855947.0</v>
      </c>
      <c r="D7" s="465">
        <f t="shared" ref="D7:D10" si="2">C7/$C$5</f>
        <v>14276.51538</v>
      </c>
      <c r="E7" s="13"/>
      <c r="F7" s="13"/>
      <c r="G7" s="13"/>
      <c r="H7" s="13"/>
      <c r="I7" s="465">
        <v>1707804.0</v>
      </c>
      <c r="J7" s="465">
        <f t="shared" ref="J7:J10" si="3">I7/$I$5</f>
        <v>13772.6129</v>
      </c>
      <c r="K7" s="13"/>
      <c r="L7" s="13"/>
      <c r="M7" s="466">
        <f t="shared" ref="M7:N7" si="1">AVERAGE(C7,I7)</f>
        <v>1781875.5</v>
      </c>
      <c r="N7" s="466">
        <f t="shared" si="1"/>
        <v>14024.56414</v>
      </c>
      <c r="O7" s="13"/>
      <c r="P7" s="13"/>
      <c r="Q7" s="13"/>
      <c r="R7" s="13"/>
      <c r="S7" s="13"/>
      <c r="T7" s="13"/>
      <c r="U7" s="13"/>
      <c r="V7" s="13"/>
      <c r="W7" s="13"/>
      <c r="X7" s="13"/>
      <c r="Y7" s="13"/>
      <c r="Z7" s="13"/>
    </row>
    <row r="8">
      <c r="A8" s="13"/>
      <c r="B8" s="13" t="s">
        <v>778</v>
      </c>
      <c r="C8" s="465">
        <v>129916.0</v>
      </c>
      <c r="D8" s="465">
        <f t="shared" si="2"/>
        <v>999.3538462</v>
      </c>
      <c r="E8" s="138">
        <f>D8/D7</f>
        <v>0.06999984375</v>
      </c>
      <c r="F8" s="13"/>
      <c r="G8" s="13"/>
      <c r="H8" s="13"/>
      <c r="I8" s="465">
        <v>119546.0</v>
      </c>
      <c r="J8" s="465">
        <f t="shared" si="3"/>
        <v>964.0806452</v>
      </c>
      <c r="K8" s="138">
        <f>I8/I7</f>
        <v>0.06999983605</v>
      </c>
      <c r="L8" s="13"/>
      <c r="M8" s="466">
        <f t="shared" ref="M8:N8" si="4">AVERAGE(C8,I8)</f>
        <v>124731</v>
      </c>
      <c r="N8" s="466">
        <f t="shared" si="4"/>
        <v>981.7172457</v>
      </c>
      <c r="O8" s="13"/>
      <c r="P8" s="13"/>
      <c r="Q8" s="13"/>
      <c r="R8" s="13"/>
      <c r="S8" s="13"/>
      <c r="T8" s="13"/>
      <c r="U8" s="13"/>
      <c r="V8" s="13"/>
      <c r="W8" s="13"/>
      <c r="X8" s="13"/>
      <c r="Y8" s="13"/>
      <c r="Z8" s="13"/>
    </row>
    <row r="9">
      <c r="A9" s="13"/>
      <c r="B9" s="182" t="s">
        <v>321</v>
      </c>
      <c r="C9" s="470">
        <v>18720.0</v>
      </c>
      <c r="D9" s="470">
        <f t="shared" si="2"/>
        <v>144</v>
      </c>
      <c r="E9" s="182"/>
      <c r="F9" s="13"/>
      <c r="G9" s="13"/>
      <c r="H9" s="182"/>
      <c r="I9" s="470">
        <v>83343.0</v>
      </c>
      <c r="J9" s="470">
        <f t="shared" si="3"/>
        <v>672.1209677</v>
      </c>
      <c r="K9" s="182"/>
      <c r="L9" s="13"/>
      <c r="M9" s="475">
        <f t="shared" ref="M9:N9" si="5">AVERAGE(C9,I9)</f>
        <v>51031.5</v>
      </c>
      <c r="N9" s="475">
        <f t="shared" si="5"/>
        <v>408.0604839</v>
      </c>
      <c r="O9" s="13"/>
      <c r="P9" s="13"/>
      <c r="Q9" s="13"/>
      <c r="R9" s="13"/>
      <c r="S9" s="13"/>
      <c r="T9" s="13"/>
      <c r="U9" s="13"/>
      <c r="V9" s="13"/>
      <c r="W9" s="13"/>
      <c r="X9" s="13"/>
      <c r="Y9" s="13"/>
      <c r="Z9" s="13"/>
    </row>
    <row r="10">
      <c r="A10" s="13"/>
      <c r="B10" s="13" t="s">
        <v>779</v>
      </c>
      <c r="C10" s="465">
        <f>C7-C8+C9</f>
        <v>1744751</v>
      </c>
      <c r="D10" s="465">
        <f t="shared" si="2"/>
        <v>13421.16154</v>
      </c>
      <c r="E10" s="13"/>
      <c r="F10" s="13"/>
      <c r="G10" s="13"/>
      <c r="H10" s="13"/>
      <c r="I10" s="465">
        <v>1671601.0</v>
      </c>
      <c r="J10" s="465">
        <f t="shared" si="3"/>
        <v>13480.65323</v>
      </c>
      <c r="K10" s="13"/>
      <c r="L10" s="13"/>
      <c r="M10" s="466">
        <f t="shared" ref="M10:N10" si="6">AVERAGE(C10,I10)</f>
        <v>1708176</v>
      </c>
      <c r="N10" s="466">
        <f t="shared" si="6"/>
        <v>13450.90738</v>
      </c>
      <c r="O10" s="13"/>
      <c r="P10" s="13"/>
      <c r="Q10" s="13"/>
      <c r="R10" s="13"/>
      <c r="S10" s="13"/>
      <c r="T10" s="13"/>
      <c r="U10" s="13"/>
      <c r="V10" s="13"/>
      <c r="W10" s="13"/>
      <c r="X10" s="13"/>
      <c r="Y10" s="13"/>
      <c r="Z10" s="13"/>
    </row>
    <row r="11">
      <c r="A11" s="13"/>
      <c r="B11" s="13"/>
      <c r="C11" s="463"/>
      <c r="D11" s="463"/>
      <c r="E11" s="13"/>
      <c r="F11" s="13"/>
      <c r="G11" s="13"/>
      <c r="H11" s="13"/>
      <c r="I11" s="463"/>
      <c r="J11" s="463"/>
      <c r="K11" s="13"/>
      <c r="L11" s="13"/>
      <c r="M11" s="13"/>
      <c r="N11" s="13"/>
      <c r="O11" s="13"/>
      <c r="P11" s="13"/>
      <c r="Q11" s="13"/>
      <c r="R11" s="13"/>
      <c r="S11" s="13"/>
      <c r="T11" s="13"/>
      <c r="U11" s="13"/>
      <c r="V11" s="13"/>
      <c r="W11" s="13"/>
      <c r="X11" s="13"/>
      <c r="Y11" s="13"/>
      <c r="Z11" s="13"/>
    </row>
    <row r="12">
      <c r="A12" s="13"/>
      <c r="B12" s="13" t="s">
        <v>780</v>
      </c>
      <c r="C12" s="465">
        <v>13000.0</v>
      </c>
      <c r="D12" s="465">
        <f t="shared" ref="D12:D23" si="8">C12/$C$5</f>
        <v>100</v>
      </c>
      <c r="E12" s="13"/>
      <c r="F12" s="13"/>
      <c r="G12" s="13"/>
      <c r="H12" s="13"/>
      <c r="I12" s="465">
        <v>25000.0</v>
      </c>
      <c r="J12" s="465">
        <f t="shared" ref="J12:J23" si="9">I12/$I$5</f>
        <v>201.6129032</v>
      </c>
      <c r="K12" s="13"/>
      <c r="L12" s="13"/>
      <c r="M12" s="466">
        <f t="shared" ref="M12:N12" si="7">AVERAGE(C12,I12)</f>
        <v>19000</v>
      </c>
      <c r="N12" s="466">
        <f t="shared" si="7"/>
        <v>150.8064516</v>
      </c>
      <c r="O12" s="13"/>
      <c r="P12" s="13"/>
      <c r="Q12" s="13"/>
      <c r="R12" s="13"/>
      <c r="S12" s="13"/>
      <c r="T12" s="13"/>
      <c r="U12" s="13"/>
      <c r="V12" s="13"/>
      <c r="W12" s="13"/>
      <c r="X12" s="13"/>
      <c r="Y12" s="13"/>
      <c r="Z12" s="13"/>
    </row>
    <row r="13">
      <c r="A13" s="13"/>
      <c r="B13" s="13" t="s">
        <v>742</v>
      </c>
      <c r="C13" s="465">
        <v>227500.0</v>
      </c>
      <c r="D13" s="465">
        <f t="shared" si="8"/>
        <v>1750</v>
      </c>
      <c r="E13" s="13"/>
      <c r="F13" s="13"/>
      <c r="G13" s="13"/>
      <c r="H13" s="13"/>
      <c r="I13" s="465">
        <v>259000.0</v>
      </c>
      <c r="J13" s="465">
        <f t="shared" si="9"/>
        <v>2088.709677</v>
      </c>
      <c r="K13" s="13"/>
      <c r="L13" s="13"/>
      <c r="M13" s="466">
        <f t="shared" ref="M13:N13" si="10">AVERAGE(C13,I13)</f>
        <v>243250</v>
      </c>
      <c r="N13" s="466">
        <f t="shared" si="10"/>
        <v>1919.354839</v>
      </c>
      <c r="O13" s="13"/>
      <c r="P13" s="13"/>
      <c r="Q13" s="13"/>
      <c r="R13" s="13"/>
      <c r="S13" s="13"/>
      <c r="T13" s="13"/>
      <c r="U13" s="13"/>
      <c r="V13" s="13"/>
      <c r="W13" s="13"/>
      <c r="X13" s="13"/>
      <c r="Y13" s="13"/>
      <c r="Z13" s="13"/>
    </row>
    <row r="14">
      <c r="A14" s="13"/>
      <c r="B14" s="13" t="s">
        <v>781</v>
      </c>
      <c r="C14" s="465">
        <v>19125.0</v>
      </c>
      <c r="D14" s="465">
        <f t="shared" si="8"/>
        <v>147.1153846</v>
      </c>
      <c r="E14" s="13"/>
      <c r="F14" s="13"/>
      <c r="G14" s="13"/>
      <c r="H14" s="13"/>
      <c r="I14" s="465">
        <v>15000.0</v>
      </c>
      <c r="J14" s="465">
        <f t="shared" si="9"/>
        <v>120.9677419</v>
      </c>
      <c r="K14" s="13"/>
      <c r="L14" s="13"/>
      <c r="M14" s="466">
        <f t="shared" ref="M14:N14" si="11">AVERAGE(C14,I14)</f>
        <v>17062.5</v>
      </c>
      <c r="N14" s="466">
        <f t="shared" si="11"/>
        <v>134.0415633</v>
      </c>
      <c r="O14" s="13"/>
      <c r="P14" s="13"/>
      <c r="Q14" s="13"/>
      <c r="R14" s="13"/>
      <c r="S14" s="13"/>
      <c r="T14" s="13"/>
      <c r="U14" s="13"/>
      <c r="V14" s="13"/>
      <c r="W14" s="13"/>
      <c r="X14" s="13"/>
      <c r="Y14" s="13"/>
      <c r="Z14" s="13"/>
    </row>
    <row r="15">
      <c r="A15" s="13"/>
      <c r="B15" s="13" t="s">
        <v>782</v>
      </c>
      <c r="C15" s="465">
        <v>65000.0</v>
      </c>
      <c r="D15" s="465">
        <f t="shared" si="8"/>
        <v>500</v>
      </c>
      <c r="E15" s="13"/>
      <c r="F15" s="13"/>
      <c r="G15" s="13"/>
      <c r="H15" s="13"/>
      <c r="I15" s="465">
        <v>83700.0</v>
      </c>
      <c r="J15" s="465">
        <f t="shared" si="9"/>
        <v>675</v>
      </c>
      <c r="K15" s="13"/>
      <c r="L15" s="13"/>
      <c r="M15" s="466">
        <f t="shared" ref="M15:N15" si="12">AVERAGE(C15,I15)</f>
        <v>74350</v>
      </c>
      <c r="N15" s="466">
        <f t="shared" si="12"/>
        <v>587.5</v>
      </c>
      <c r="O15" s="13"/>
      <c r="P15" s="13"/>
      <c r="Q15" s="13"/>
      <c r="R15" s="13"/>
      <c r="S15" s="13"/>
      <c r="T15" s="13"/>
      <c r="U15" s="13"/>
      <c r="V15" s="13"/>
      <c r="W15" s="13"/>
      <c r="X15" s="13"/>
      <c r="Y15" s="13"/>
      <c r="Z15" s="13"/>
    </row>
    <row r="16">
      <c r="A16" s="13"/>
      <c r="B16" s="13" t="s">
        <v>783</v>
      </c>
      <c r="C16" s="465">
        <v>25000.0</v>
      </c>
      <c r="D16" s="465">
        <f t="shared" si="8"/>
        <v>192.3076923</v>
      </c>
      <c r="E16" s="13"/>
      <c r="F16" s="13"/>
      <c r="G16" s="13"/>
      <c r="H16" s="13"/>
      <c r="I16" s="465">
        <v>25000.0</v>
      </c>
      <c r="J16" s="465">
        <f t="shared" si="9"/>
        <v>201.6129032</v>
      </c>
      <c r="K16" s="13"/>
      <c r="L16" s="13"/>
      <c r="M16" s="466">
        <f t="shared" ref="M16:N16" si="13">AVERAGE(C16,I16)</f>
        <v>25000</v>
      </c>
      <c r="N16" s="466">
        <f t="shared" si="13"/>
        <v>196.9602978</v>
      </c>
      <c r="O16" s="13"/>
      <c r="P16" s="13"/>
      <c r="Q16" s="13"/>
      <c r="R16" s="13"/>
      <c r="S16" s="13"/>
      <c r="T16" s="13"/>
      <c r="U16" s="13"/>
      <c r="V16" s="13"/>
      <c r="W16" s="13"/>
      <c r="X16" s="13"/>
      <c r="Y16" s="13"/>
      <c r="Z16" s="13"/>
    </row>
    <row r="17">
      <c r="A17" s="13"/>
      <c r="B17" s="13" t="s">
        <v>784</v>
      </c>
      <c r="C17" s="465">
        <v>198702.0</v>
      </c>
      <c r="D17" s="465">
        <f t="shared" si="8"/>
        <v>1528.476923</v>
      </c>
      <c r="E17" s="13"/>
      <c r="F17" s="13"/>
      <c r="G17" s="13"/>
      <c r="H17" s="13"/>
      <c r="I17" s="465">
        <v>91096.0</v>
      </c>
      <c r="J17" s="465">
        <f t="shared" si="9"/>
        <v>734.6451613</v>
      </c>
      <c r="K17" s="13"/>
      <c r="L17" s="13"/>
      <c r="M17" s="466">
        <f t="shared" ref="M17:N17" si="14">AVERAGE(C17,I17)</f>
        <v>144899</v>
      </c>
      <c r="N17" s="466">
        <f t="shared" si="14"/>
        <v>1131.561042</v>
      </c>
      <c r="O17" s="13"/>
      <c r="P17" s="13"/>
      <c r="Q17" s="13"/>
      <c r="R17" s="13"/>
      <c r="S17" s="13"/>
      <c r="T17" s="13"/>
      <c r="U17" s="13"/>
      <c r="V17" s="13"/>
      <c r="W17" s="13"/>
      <c r="X17" s="13"/>
      <c r="Y17" s="13"/>
      <c r="Z17" s="13"/>
    </row>
    <row r="18">
      <c r="A18" s="13"/>
      <c r="B18" s="13" t="s">
        <v>785</v>
      </c>
      <c r="C18" s="465">
        <v>99000.0</v>
      </c>
      <c r="D18" s="465">
        <f t="shared" si="8"/>
        <v>761.5384615</v>
      </c>
      <c r="E18" s="13"/>
      <c r="F18" s="13"/>
      <c r="G18" s="13"/>
      <c r="H18" s="13"/>
      <c r="I18" s="465">
        <v>78500.0</v>
      </c>
      <c r="J18" s="465">
        <f t="shared" si="9"/>
        <v>633.0645161</v>
      </c>
      <c r="K18" s="13"/>
      <c r="L18" s="13"/>
      <c r="M18" s="466">
        <f t="shared" ref="M18:N18" si="15">AVERAGE(C18,I18)</f>
        <v>88750</v>
      </c>
      <c r="N18" s="466">
        <f t="shared" si="15"/>
        <v>697.3014888</v>
      </c>
      <c r="O18" s="13"/>
      <c r="P18" s="13"/>
      <c r="Q18" s="13"/>
      <c r="R18" s="13"/>
      <c r="S18" s="13"/>
      <c r="T18" s="13"/>
      <c r="U18" s="13"/>
      <c r="V18" s="13"/>
      <c r="W18" s="13"/>
      <c r="X18" s="13"/>
      <c r="Y18" s="13"/>
      <c r="Z18" s="13"/>
    </row>
    <row r="19">
      <c r="A19" s="13"/>
      <c r="B19" s="13" t="s">
        <v>786</v>
      </c>
      <c r="C19" s="465">
        <v>104606.0</v>
      </c>
      <c r="D19" s="465">
        <f t="shared" si="8"/>
        <v>804.6615385</v>
      </c>
      <c r="E19" s="138">
        <f>C19/$C$10</f>
        <v>0.05995468694</v>
      </c>
      <c r="F19" s="13"/>
      <c r="G19" s="13"/>
      <c r="H19" s="13"/>
      <c r="I19" s="465">
        <v>83580.0</v>
      </c>
      <c r="J19" s="465">
        <f t="shared" si="9"/>
        <v>674.0322581</v>
      </c>
      <c r="K19" s="138">
        <f>I19/$I$10</f>
        <v>0.04999997009</v>
      </c>
      <c r="L19" s="13"/>
      <c r="M19" s="466">
        <f t="shared" ref="M19:N19" si="16">AVERAGE(C19,I19)</f>
        <v>94093</v>
      </c>
      <c r="N19" s="466">
        <f t="shared" si="16"/>
        <v>739.3468983</v>
      </c>
      <c r="O19" s="13"/>
      <c r="P19" s="13"/>
      <c r="Q19" s="13"/>
      <c r="R19" s="13"/>
      <c r="S19" s="13"/>
      <c r="T19" s="13"/>
      <c r="U19" s="13"/>
      <c r="V19" s="13"/>
      <c r="W19" s="13"/>
      <c r="X19" s="13"/>
      <c r="Y19" s="13"/>
      <c r="Z19" s="13"/>
    </row>
    <row r="20">
      <c r="A20" s="13"/>
      <c r="B20" s="13" t="s">
        <v>140</v>
      </c>
      <c r="C20" s="465">
        <v>0.0</v>
      </c>
      <c r="D20" s="465">
        <f t="shared" si="8"/>
        <v>0</v>
      </c>
      <c r="E20" s="13"/>
      <c r="F20" s="13"/>
      <c r="G20" s="13"/>
      <c r="H20" s="13"/>
      <c r="I20" s="465">
        <v>0.0</v>
      </c>
      <c r="J20" s="465">
        <f t="shared" si="9"/>
        <v>0</v>
      </c>
      <c r="K20" s="13"/>
      <c r="L20" s="13"/>
      <c r="M20" s="466">
        <f t="shared" ref="M20:N20" si="17">AVERAGE(C20,I20)</f>
        <v>0</v>
      </c>
      <c r="N20" s="466">
        <f t="shared" si="17"/>
        <v>0</v>
      </c>
      <c r="O20" s="13"/>
      <c r="P20" s="13"/>
      <c r="Q20" s="13"/>
      <c r="R20" s="13"/>
      <c r="S20" s="13"/>
      <c r="T20" s="13"/>
      <c r="U20" s="13"/>
      <c r="V20" s="13"/>
      <c r="W20" s="13"/>
      <c r="X20" s="13"/>
      <c r="Y20" s="13"/>
      <c r="Z20" s="13"/>
    </row>
    <row r="21" ht="15.75" customHeight="1">
      <c r="A21" s="13"/>
      <c r="B21" s="13" t="s">
        <v>141</v>
      </c>
      <c r="C21" s="465">
        <v>39000.0</v>
      </c>
      <c r="D21" s="465">
        <f t="shared" si="8"/>
        <v>300</v>
      </c>
      <c r="E21" s="13"/>
      <c r="F21" s="13"/>
      <c r="G21" s="13"/>
      <c r="H21" s="13"/>
      <c r="I21" s="465">
        <v>37200.0</v>
      </c>
      <c r="J21" s="465">
        <f t="shared" si="9"/>
        <v>300</v>
      </c>
      <c r="K21" s="13"/>
      <c r="L21" s="13"/>
      <c r="M21" s="466">
        <f t="shared" ref="M21:N21" si="18">AVERAGE(C21,I21)</f>
        <v>38100</v>
      </c>
      <c r="N21" s="466">
        <f t="shared" si="18"/>
        <v>300</v>
      </c>
      <c r="O21" s="13"/>
      <c r="P21" s="13"/>
      <c r="Q21" s="13"/>
      <c r="R21" s="13"/>
      <c r="S21" s="13"/>
      <c r="T21" s="13"/>
      <c r="U21" s="13"/>
      <c r="V21" s="13"/>
      <c r="W21" s="13"/>
      <c r="X21" s="13"/>
      <c r="Y21" s="13"/>
      <c r="Z21" s="13"/>
    </row>
    <row r="22" ht="15.75" customHeight="1">
      <c r="A22" s="13"/>
      <c r="B22" s="13" t="s">
        <v>787</v>
      </c>
      <c r="C22" s="465">
        <v>20000.0</v>
      </c>
      <c r="D22" s="465">
        <f t="shared" si="8"/>
        <v>153.8461538</v>
      </c>
      <c r="E22" s="13"/>
      <c r="F22" s="13"/>
      <c r="G22" s="13"/>
      <c r="H22" s="13"/>
      <c r="I22" s="465">
        <v>10000.0</v>
      </c>
      <c r="J22" s="465">
        <f t="shared" si="9"/>
        <v>80.64516129</v>
      </c>
      <c r="K22" s="13"/>
      <c r="L22" s="13"/>
      <c r="M22" s="466">
        <f t="shared" ref="M22:N22" si="19">AVERAGE(C22,I22)</f>
        <v>15000</v>
      </c>
      <c r="N22" s="466">
        <f t="shared" si="19"/>
        <v>117.2456576</v>
      </c>
      <c r="O22" s="13"/>
      <c r="P22" s="13"/>
      <c r="Q22" s="13"/>
      <c r="R22" s="13"/>
      <c r="S22" s="13"/>
      <c r="T22" s="13"/>
      <c r="U22" s="13"/>
      <c r="V22" s="13"/>
      <c r="W22" s="13"/>
      <c r="X22" s="13"/>
      <c r="Y22" s="13"/>
      <c r="Z22" s="13"/>
    </row>
    <row r="23" ht="15.75" customHeight="1">
      <c r="A23" s="13"/>
      <c r="B23" s="182" t="s">
        <v>56</v>
      </c>
      <c r="C23" s="470">
        <v>0.0</v>
      </c>
      <c r="D23" s="470">
        <f t="shared" si="8"/>
        <v>0</v>
      </c>
      <c r="E23" s="182"/>
      <c r="F23" s="13"/>
      <c r="G23" s="13"/>
      <c r="H23" s="182"/>
      <c r="I23" s="470">
        <v>0.0</v>
      </c>
      <c r="J23" s="470">
        <f t="shared" si="9"/>
        <v>0</v>
      </c>
      <c r="K23" s="182"/>
      <c r="L23" s="13"/>
      <c r="M23" s="475">
        <f t="shared" ref="M23:N23" si="20">AVERAGE(C23,I23)</f>
        <v>0</v>
      </c>
      <c r="N23" s="475">
        <f t="shared" si="20"/>
        <v>0</v>
      </c>
      <c r="O23" s="13"/>
      <c r="P23" s="13"/>
      <c r="Q23" s="13"/>
      <c r="R23" s="13"/>
      <c r="S23" s="13"/>
      <c r="T23" s="13"/>
      <c r="U23" s="13"/>
      <c r="V23" s="13"/>
      <c r="W23" s="13"/>
      <c r="X23" s="13"/>
      <c r="Y23" s="13"/>
      <c r="Z23" s="13"/>
    </row>
    <row r="24" ht="15.75" customHeight="1">
      <c r="A24" s="13"/>
      <c r="B24" s="13" t="s">
        <v>407</v>
      </c>
      <c r="C24" s="465">
        <f t="shared" ref="C24:D24" si="21">SUM(C12:C23)</f>
        <v>810933</v>
      </c>
      <c r="D24" s="465">
        <f t="shared" si="21"/>
        <v>6237.946154</v>
      </c>
      <c r="E24" s="138">
        <f t="shared" ref="E24:E25" si="25">C24/$C$10</f>
        <v>0.4647843732</v>
      </c>
      <c r="F24" s="13"/>
      <c r="G24" s="13"/>
      <c r="H24" s="13" t="s">
        <v>407</v>
      </c>
      <c r="I24" s="465">
        <f t="shared" ref="I24:J24" si="22">SUM(I12:I23)</f>
        <v>708076</v>
      </c>
      <c r="J24" s="465">
        <f t="shared" si="22"/>
        <v>5710.290323</v>
      </c>
      <c r="K24" s="138">
        <f t="shared" ref="K24:K25" si="27">I24/$I$10</f>
        <v>0.423591515</v>
      </c>
      <c r="L24" s="13"/>
      <c r="M24" s="466">
        <f t="shared" ref="M24:N24" si="23">AVERAGE(C24,I24)</f>
        <v>759504.5</v>
      </c>
      <c r="N24" s="466">
        <f t="shared" si="23"/>
        <v>5974.118238</v>
      </c>
      <c r="O24" s="13"/>
      <c r="P24" s="13"/>
      <c r="Q24" s="13"/>
      <c r="R24" s="13"/>
      <c r="S24" s="13"/>
      <c r="T24" s="13"/>
      <c r="U24" s="13"/>
      <c r="V24" s="13"/>
      <c r="W24" s="13"/>
      <c r="X24" s="13"/>
      <c r="Y24" s="13"/>
      <c r="Z24" s="13"/>
    </row>
    <row r="25" ht="15.75" customHeight="1">
      <c r="A25" s="13"/>
      <c r="B25" s="13" t="s">
        <v>788</v>
      </c>
      <c r="C25" s="466">
        <f t="shared" ref="C25:D25" si="24">C24-C13-C20-C21</f>
        <v>544433</v>
      </c>
      <c r="D25" s="466">
        <f t="shared" si="24"/>
        <v>4187.946154</v>
      </c>
      <c r="E25" s="138">
        <f t="shared" si="25"/>
        <v>0.3120405147</v>
      </c>
      <c r="F25" s="13"/>
      <c r="G25" s="13"/>
      <c r="H25" s="13" t="s">
        <v>788</v>
      </c>
      <c r="I25" s="466">
        <f t="shared" ref="I25:J25" si="26">I24-I13-I20-I21</f>
        <v>411876</v>
      </c>
      <c r="J25" s="466">
        <f t="shared" si="26"/>
        <v>3321.580645</v>
      </c>
      <c r="K25" s="138">
        <f t="shared" si="27"/>
        <v>0.2463961196</v>
      </c>
      <c r="L25" s="13"/>
      <c r="M25" s="466">
        <f t="shared" ref="M25:N25" si="28">AVERAGE(C25,I25)</f>
        <v>478154.5</v>
      </c>
      <c r="N25" s="466">
        <f t="shared" si="28"/>
        <v>3754.7634</v>
      </c>
      <c r="O25" s="13"/>
      <c r="P25" s="13"/>
      <c r="Q25" s="13"/>
      <c r="R25" s="13"/>
      <c r="S25" s="13"/>
      <c r="T25" s="13"/>
      <c r="U25" s="13"/>
      <c r="V25" s="13"/>
      <c r="W25" s="13"/>
      <c r="X25" s="13"/>
      <c r="Y25" s="13"/>
      <c r="Z25" s="13"/>
    </row>
    <row r="26" ht="15.75" customHeight="1">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ht="15.75" customHeight="1">
      <c r="A27" s="13"/>
      <c r="B27" s="13" t="s">
        <v>327</v>
      </c>
      <c r="C27" s="466">
        <f>C10-C24</f>
        <v>933818</v>
      </c>
      <c r="D27" s="13"/>
      <c r="E27" s="13"/>
      <c r="F27" s="13"/>
      <c r="G27" s="13"/>
      <c r="H27" s="13"/>
      <c r="I27" s="466">
        <f>I10-I24</f>
        <v>963525</v>
      </c>
      <c r="J27" s="13"/>
      <c r="K27" s="13"/>
      <c r="L27" s="13"/>
      <c r="M27" s="13"/>
      <c r="N27" s="13"/>
      <c r="O27" s="13"/>
      <c r="P27" s="13"/>
      <c r="Q27" s="13"/>
      <c r="R27" s="13"/>
      <c r="S27" s="13"/>
      <c r="T27" s="13"/>
      <c r="U27" s="13"/>
      <c r="V27" s="13"/>
      <c r="W27" s="13"/>
      <c r="X27" s="13"/>
      <c r="Y27" s="13"/>
      <c r="Z27" s="13"/>
    </row>
    <row r="28" ht="15.75" customHeight="1">
      <c r="A28" s="13"/>
      <c r="B28" s="13"/>
      <c r="C28" s="466">
        <f>C13/0.01828</f>
        <v>12445295.4</v>
      </c>
      <c r="D28" s="13"/>
      <c r="E28" s="13"/>
      <c r="F28" s="13"/>
      <c r="G28" s="13"/>
      <c r="H28" s="13"/>
      <c r="I28" s="466">
        <f>I13/0.01828</f>
        <v>14168490.15</v>
      </c>
      <c r="J28" s="13"/>
      <c r="K28" s="13"/>
      <c r="L28" s="13"/>
      <c r="M28" s="13"/>
      <c r="N28" s="13"/>
      <c r="O28" s="13"/>
      <c r="P28" s="13"/>
      <c r="Q28" s="13"/>
      <c r="R28" s="13"/>
      <c r="S28" s="13"/>
      <c r="T28" s="13"/>
      <c r="U28" s="13"/>
      <c r="V28" s="13"/>
      <c r="W28" s="13"/>
      <c r="X28" s="13"/>
      <c r="Y28" s="13"/>
      <c r="Z28" s="13"/>
    </row>
    <row r="29" ht="15.75" customHeight="1">
      <c r="A29" s="13"/>
      <c r="B29" s="13"/>
      <c r="C29" s="476">
        <f>C28/C5</f>
        <v>95733.04158</v>
      </c>
      <c r="D29" s="13"/>
      <c r="E29" s="13"/>
      <c r="F29" s="13"/>
      <c r="G29" s="13"/>
      <c r="H29" s="13"/>
      <c r="I29" s="476">
        <f>I28/I5</f>
        <v>114262.0174</v>
      </c>
      <c r="J29" s="13"/>
      <c r="K29" s="13"/>
      <c r="L29" s="13"/>
      <c r="M29" s="96">
        <f t="shared" ref="M29:M30" si="29">AVERAGE(I29,C29)</f>
        <v>104997.5295</v>
      </c>
      <c r="N29" s="13"/>
      <c r="O29" s="13"/>
      <c r="P29" s="13"/>
      <c r="Q29" s="13"/>
      <c r="R29" s="13"/>
      <c r="S29" s="13"/>
      <c r="T29" s="13"/>
      <c r="U29" s="13"/>
      <c r="V29" s="13"/>
      <c r="W29" s="13"/>
      <c r="X29" s="13"/>
      <c r="Y29" s="13"/>
      <c r="Z29" s="13"/>
    </row>
    <row r="30" ht="15.75" customHeight="1">
      <c r="A30" s="13"/>
      <c r="B30" s="13" t="s">
        <v>450</v>
      </c>
      <c r="C30" s="467">
        <f>C27/C28</f>
        <v>0.07503381556</v>
      </c>
      <c r="D30" s="13"/>
      <c r="E30" s="13"/>
      <c r="F30" s="13"/>
      <c r="G30" s="13"/>
      <c r="H30" s="13"/>
      <c r="I30" s="467">
        <f>I27/I28</f>
        <v>0.06800477606</v>
      </c>
      <c r="J30" s="13"/>
      <c r="K30" s="13"/>
      <c r="L30" s="13"/>
      <c r="M30" s="467">
        <f t="shared" si="29"/>
        <v>0.07151929581</v>
      </c>
      <c r="N30" s="13"/>
      <c r="O30" s="13"/>
      <c r="P30" s="13"/>
      <c r="Q30" s="13"/>
      <c r="R30" s="13"/>
      <c r="S30" s="13"/>
      <c r="T30" s="13"/>
      <c r="U30" s="13"/>
      <c r="V30" s="13"/>
      <c r="W30" s="13"/>
      <c r="X30" s="13"/>
      <c r="Y30" s="13"/>
      <c r="Z30" s="13"/>
    </row>
    <row r="31" ht="15.75" customHeight="1">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ht="15.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ht="15.75" customHeight="1">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ht="15.75" customHeight="1">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ht="15.75" customHeight="1">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ht="15.75" customHeight="1">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ht="15.75" customHeight="1">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ht="15.75" customHeight="1">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ht="15.75" customHeight="1">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ht="15.75" customHeight="1">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ht="15.75" customHeight="1">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ht="15.75" customHeight="1">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ht="15.7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ht="15.7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ht="15.7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ht="15.75"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ht="15.75"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ht="15.75"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ht="15.7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ht="15.7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ht="15.7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ht="15.7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ht="15.7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ht="15.7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ht="15.7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ht="15.7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ht="15.7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ht="15.7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ht="15.75"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ht="15.75"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ht="15.7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ht="15.7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ht="15.75"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ht="15.7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ht="15.7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ht="15.7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ht="15.75"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ht="15.75"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ht="15.75"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ht="15.75"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ht="15.75"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ht="15.7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ht="15.7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ht="15.7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ht="15.7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ht="15.7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ht="15.7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ht="15.7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ht="15.7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ht="15.7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ht="15.7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ht="15.7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ht="15.7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ht="15.7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ht="15.7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ht="15.7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ht="15.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ht="15.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ht="15.7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ht="15.7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ht="15.7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ht="15.7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ht="15.7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ht="15.7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ht="15.7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ht="15.7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ht="15.7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ht="15.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ht="15.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ht="15.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ht="15.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ht="15.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ht="15.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ht="15.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ht="15.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ht="15.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ht="15.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ht="15.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ht="15.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ht="15.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ht="15.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ht="15.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ht="15.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ht="15.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ht="15.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ht="15.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ht="15.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ht="15.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ht="15.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ht="15.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ht="15.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ht="15.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ht="15.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5.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6" width="10.63"/>
  </cols>
  <sheetData>
    <row r="1" ht="13.5" customHeight="1"/>
    <row r="2" ht="13.5" customHeight="1">
      <c r="B2" s="477" t="s">
        <v>789</v>
      </c>
    </row>
    <row r="3" ht="13.5" customHeight="1"/>
    <row r="4" ht="13.5" customHeight="1">
      <c r="B4" s="478"/>
      <c r="C4" s="479" t="s">
        <v>606</v>
      </c>
      <c r="D4" s="479" t="s">
        <v>420</v>
      </c>
      <c r="E4" s="479" t="s">
        <v>422</v>
      </c>
      <c r="F4" s="479" t="s">
        <v>579</v>
      </c>
    </row>
    <row r="5" ht="13.5" customHeight="1">
      <c r="B5" s="480">
        <v>0.3</v>
      </c>
      <c r="C5" s="35">
        <v>641.0</v>
      </c>
      <c r="D5" s="35">
        <v>687.0</v>
      </c>
      <c r="E5" s="35">
        <v>824.0</v>
      </c>
      <c r="F5" s="35">
        <v>952.0</v>
      </c>
    </row>
    <row r="6" ht="13.5" customHeight="1">
      <c r="B6" s="480">
        <v>0.4</v>
      </c>
      <c r="C6" s="35">
        <v>855.0</v>
      </c>
      <c r="D6" s="35">
        <v>916.0</v>
      </c>
      <c r="E6" s="35">
        <v>1099.0</v>
      </c>
      <c r="F6" s="35">
        <v>1270.0</v>
      </c>
    </row>
    <row r="7" ht="13.5" customHeight="1">
      <c r="B7" s="480">
        <v>0.5</v>
      </c>
      <c r="C7" s="35">
        <v>1068.0</v>
      </c>
      <c r="D7" s="35">
        <v>1145.0</v>
      </c>
      <c r="E7" s="35">
        <v>1373.0</v>
      </c>
      <c r="F7" s="35">
        <v>1587.0</v>
      </c>
    </row>
    <row r="8" ht="13.5" customHeight="1">
      <c r="B8" s="480">
        <v>0.6</v>
      </c>
      <c r="C8" s="35">
        <v>1282.0</v>
      </c>
      <c r="D8" s="35">
        <v>1374.0</v>
      </c>
      <c r="E8" s="35">
        <v>1648.0</v>
      </c>
      <c r="F8" s="35">
        <v>1905.0</v>
      </c>
    </row>
    <row r="9" ht="13.5" customHeight="1">
      <c r="B9" s="480">
        <v>0.8</v>
      </c>
      <c r="C9" s="35">
        <f t="shared" ref="C9:F9" si="1">C6*2</f>
        <v>1710</v>
      </c>
      <c r="D9" s="35">
        <f t="shared" si="1"/>
        <v>1832</v>
      </c>
      <c r="E9" s="35">
        <f t="shared" si="1"/>
        <v>2198</v>
      </c>
      <c r="F9" s="35">
        <f t="shared" si="1"/>
        <v>2540</v>
      </c>
    </row>
    <row r="10" ht="13.5" customHeight="1"/>
    <row r="11" ht="13.5" customHeight="1"/>
    <row r="12" ht="13.5" customHeight="1">
      <c r="B12" s="35" t="str">
        <f t="shared" ref="B12:B16" si="2">TEXT($B5,"##%")&amp;" "&amp;$C$4</f>
        <v>30% Studio</v>
      </c>
      <c r="C12" s="35">
        <v>641.0</v>
      </c>
    </row>
    <row r="13" ht="13.5" customHeight="1">
      <c r="B13" s="35" t="str">
        <f t="shared" si="2"/>
        <v>40% Studio</v>
      </c>
      <c r="C13" s="35">
        <v>855.0</v>
      </c>
    </row>
    <row r="14" ht="13.5" customHeight="1">
      <c r="B14" s="35" t="str">
        <f t="shared" si="2"/>
        <v>50% Studio</v>
      </c>
      <c r="C14" s="35">
        <v>1068.0</v>
      </c>
    </row>
    <row r="15" ht="13.5" customHeight="1">
      <c r="B15" s="35" t="str">
        <f t="shared" si="2"/>
        <v>60% Studio</v>
      </c>
      <c r="C15" s="35">
        <v>1282.0</v>
      </c>
    </row>
    <row r="16" ht="13.5" customHeight="1">
      <c r="B16" s="35" t="str">
        <f t="shared" si="2"/>
        <v>80% Studio</v>
      </c>
      <c r="C16" s="35">
        <f>C13*2</f>
        <v>1710</v>
      </c>
    </row>
    <row r="17" ht="13.5" customHeight="1">
      <c r="B17" s="35" t="str">
        <f t="shared" ref="B17:B21" si="3">TEXT($B5,"##%")&amp;" "&amp;$D$4</f>
        <v>30% 1BR</v>
      </c>
      <c r="C17" s="35">
        <v>687.0</v>
      </c>
    </row>
    <row r="18" ht="13.5" customHeight="1">
      <c r="B18" s="35" t="str">
        <f t="shared" si="3"/>
        <v>40% 1BR</v>
      </c>
      <c r="C18" s="35">
        <v>916.0</v>
      </c>
    </row>
    <row r="19" ht="13.5" customHeight="1">
      <c r="B19" s="35" t="str">
        <f t="shared" si="3"/>
        <v>50% 1BR</v>
      </c>
      <c r="C19" s="35">
        <v>1145.0</v>
      </c>
    </row>
    <row r="20" ht="13.5" customHeight="1">
      <c r="B20" s="35" t="str">
        <f t="shared" si="3"/>
        <v>60% 1BR</v>
      </c>
      <c r="C20" s="35">
        <v>1374.0</v>
      </c>
    </row>
    <row r="21" ht="13.5" customHeight="1">
      <c r="B21" s="35" t="str">
        <f t="shared" si="3"/>
        <v>80% 1BR</v>
      </c>
      <c r="C21" s="35">
        <f>C18*2</f>
        <v>1832</v>
      </c>
    </row>
    <row r="22" ht="13.5" customHeight="1">
      <c r="B22" s="35" t="str">
        <f t="shared" ref="B22:B26" si="4">TEXT($B5,"##%")&amp;" "&amp;$E$4</f>
        <v>30% 2BR</v>
      </c>
      <c r="C22" s="35">
        <v>824.0</v>
      </c>
    </row>
    <row r="23" ht="13.5" customHeight="1">
      <c r="B23" s="35" t="str">
        <f t="shared" si="4"/>
        <v>40% 2BR</v>
      </c>
      <c r="C23" s="35">
        <v>1099.0</v>
      </c>
    </row>
    <row r="24" ht="13.5" customHeight="1">
      <c r="B24" s="35" t="str">
        <f t="shared" si="4"/>
        <v>50% 2BR</v>
      </c>
      <c r="C24" s="35">
        <v>1373.0</v>
      </c>
    </row>
    <row r="25" ht="13.5" customHeight="1">
      <c r="B25" s="35" t="str">
        <f t="shared" si="4"/>
        <v>60% 2BR</v>
      </c>
      <c r="C25" s="35">
        <v>1648.0</v>
      </c>
    </row>
    <row r="26" ht="13.5" customHeight="1">
      <c r="B26" s="35" t="str">
        <f t="shared" si="4"/>
        <v>80% 2BR</v>
      </c>
      <c r="C26" s="35">
        <f>C23*2</f>
        <v>2198</v>
      </c>
    </row>
    <row r="27" ht="13.5" customHeight="1">
      <c r="B27" s="35" t="str">
        <f t="shared" ref="B27:B31" si="5">TEXT($B5,"##%")&amp;" "&amp;$F$4</f>
        <v>30% 3BR</v>
      </c>
      <c r="C27" s="35">
        <v>952.0</v>
      </c>
    </row>
    <row r="28" ht="13.5" customHeight="1">
      <c r="B28" s="35" t="str">
        <f t="shared" si="5"/>
        <v>40% 3BR</v>
      </c>
      <c r="C28" s="35">
        <v>1270.0</v>
      </c>
    </row>
    <row r="29" ht="13.5" customHeight="1">
      <c r="B29" s="35" t="str">
        <f t="shared" si="5"/>
        <v>50% 3BR</v>
      </c>
      <c r="C29" s="35">
        <v>1587.0</v>
      </c>
    </row>
    <row r="30" ht="13.5" customHeight="1">
      <c r="B30" s="35" t="str">
        <f t="shared" si="5"/>
        <v>60% 3BR</v>
      </c>
      <c r="C30" s="35">
        <v>1905.0</v>
      </c>
    </row>
    <row r="31" ht="13.5" customHeight="1">
      <c r="B31" s="35" t="str">
        <f t="shared" si="5"/>
        <v>80% 3BR</v>
      </c>
      <c r="C31" s="35">
        <f>C28*2</f>
        <v>2540</v>
      </c>
    </row>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3.0"/>
    <col customWidth="1" min="2" max="2" width="31.0"/>
    <col customWidth="1" min="3" max="9" width="10.63"/>
  </cols>
  <sheetData>
    <row r="1" ht="13.5" customHeight="1"/>
    <row r="2" ht="13.5" customHeight="1">
      <c r="B2" s="477" t="s">
        <v>790</v>
      </c>
    </row>
    <row r="3" ht="13.5" customHeight="1">
      <c r="B3" s="371"/>
      <c r="C3" s="481" t="s">
        <v>791</v>
      </c>
      <c r="D3" s="481" t="s">
        <v>792</v>
      </c>
      <c r="E3" s="481" t="s">
        <v>793</v>
      </c>
      <c r="F3" s="481" t="s">
        <v>794</v>
      </c>
      <c r="G3" s="481" t="s">
        <v>795</v>
      </c>
      <c r="H3" s="481" t="s">
        <v>796</v>
      </c>
    </row>
    <row r="4" ht="13.5" customHeight="1">
      <c r="B4" s="375" t="s">
        <v>797</v>
      </c>
    </row>
    <row r="5" ht="13.5" customHeight="1">
      <c r="B5" s="35" t="s">
        <v>273</v>
      </c>
      <c r="C5" s="35">
        <v>18.0</v>
      </c>
      <c r="D5" s="35">
        <v>21.0</v>
      </c>
      <c r="E5" s="35">
        <v>24.0</v>
      </c>
      <c r="F5" s="35">
        <v>28.0</v>
      </c>
      <c r="G5" s="35">
        <v>31.0</v>
      </c>
      <c r="H5" s="35">
        <v>35.0</v>
      </c>
    </row>
    <row r="6" ht="13.5" customHeight="1">
      <c r="B6" s="35" t="s">
        <v>798</v>
      </c>
      <c r="C6" s="35">
        <v>27.0</v>
      </c>
      <c r="D6" s="482">
        <v>32.0</v>
      </c>
      <c r="E6" s="35">
        <v>44.0</v>
      </c>
      <c r="F6" s="35">
        <v>56.0</v>
      </c>
      <c r="G6" s="35">
        <v>68.0</v>
      </c>
      <c r="H6" s="35">
        <v>80.0</v>
      </c>
    </row>
    <row r="7" ht="13.5" customHeight="1">
      <c r="B7" s="375" t="s">
        <v>799</v>
      </c>
    </row>
    <row r="8" ht="13.5" customHeight="1">
      <c r="B8" s="35" t="s">
        <v>273</v>
      </c>
      <c r="C8" s="35">
        <v>2.0</v>
      </c>
      <c r="D8" s="35">
        <v>2.0</v>
      </c>
      <c r="E8" s="35">
        <v>3.0</v>
      </c>
      <c r="F8" s="35">
        <v>4.0</v>
      </c>
      <c r="G8" s="35">
        <v>5.0</v>
      </c>
      <c r="H8" s="35">
        <v>6.0</v>
      </c>
    </row>
    <row r="9" ht="13.5" customHeight="1">
      <c r="B9" s="35" t="s">
        <v>798</v>
      </c>
      <c r="C9" s="35">
        <v>6.0</v>
      </c>
      <c r="D9" s="482">
        <v>7.0</v>
      </c>
      <c r="E9" s="35">
        <v>10.0</v>
      </c>
      <c r="F9" s="35">
        <v>12.0</v>
      </c>
      <c r="G9" s="35">
        <v>15.0</v>
      </c>
      <c r="H9" s="35">
        <v>18.0</v>
      </c>
    </row>
    <row r="10" ht="13.5" customHeight="1">
      <c r="B10" s="375" t="s">
        <v>800</v>
      </c>
    </row>
    <row r="11" ht="13.5" customHeight="1">
      <c r="B11" s="35" t="s">
        <v>273</v>
      </c>
      <c r="C11" s="35">
        <v>4.0</v>
      </c>
      <c r="D11" s="35">
        <v>9.0</v>
      </c>
      <c r="E11" s="35">
        <v>7.0</v>
      </c>
      <c r="F11" s="35">
        <v>10.0</v>
      </c>
      <c r="G11" s="35">
        <v>12.0</v>
      </c>
      <c r="H11" s="35">
        <v>14.0</v>
      </c>
    </row>
    <row r="12" ht="13.5" customHeight="1">
      <c r="B12" s="35" t="s">
        <v>798</v>
      </c>
      <c r="C12" s="35">
        <v>15.0</v>
      </c>
      <c r="D12" s="35">
        <v>18.0</v>
      </c>
      <c r="E12" s="35">
        <v>23.0</v>
      </c>
      <c r="F12" s="35">
        <v>28.0</v>
      </c>
      <c r="G12" s="35">
        <v>33.0</v>
      </c>
      <c r="H12" s="35">
        <v>37.0</v>
      </c>
    </row>
    <row r="13" ht="13.5" customHeight="1">
      <c r="B13" s="375" t="s">
        <v>801</v>
      </c>
      <c r="C13" s="35">
        <v>12.0</v>
      </c>
      <c r="D13" s="35">
        <v>12.0</v>
      </c>
      <c r="E13" s="35">
        <v>12.0</v>
      </c>
      <c r="F13" s="35">
        <v>12.0</v>
      </c>
      <c r="G13" s="35">
        <v>12.0</v>
      </c>
      <c r="H13" s="35">
        <v>12.0</v>
      </c>
    </row>
    <row r="14" ht="13.5" customHeight="1">
      <c r="B14" s="375" t="s">
        <v>802</v>
      </c>
      <c r="C14" s="35">
        <v>47.0</v>
      </c>
      <c r="D14" s="35">
        <v>49.0</v>
      </c>
      <c r="E14" s="35">
        <v>62.0</v>
      </c>
      <c r="F14" s="35">
        <v>84.0</v>
      </c>
      <c r="G14" s="35">
        <v>107.0</v>
      </c>
      <c r="H14" s="35">
        <v>136.0</v>
      </c>
    </row>
    <row r="15" ht="13.5" customHeight="1">
      <c r="B15" s="375" t="s">
        <v>803</v>
      </c>
      <c r="C15" s="35">
        <v>3.0</v>
      </c>
      <c r="D15" s="482">
        <v>4.0</v>
      </c>
      <c r="E15" s="35">
        <v>5.0</v>
      </c>
      <c r="F15" s="35">
        <v>7.0</v>
      </c>
      <c r="G15" s="35">
        <v>8.0</v>
      </c>
      <c r="H15" s="35">
        <v>10.0</v>
      </c>
    </row>
    <row r="16" ht="13.5" customHeight="1">
      <c r="B16" s="375" t="s">
        <v>804</v>
      </c>
    </row>
    <row r="17" ht="13.5" customHeight="1">
      <c r="B17" s="35" t="s">
        <v>273</v>
      </c>
      <c r="C17" s="35">
        <v>16.0</v>
      </c>
      <c r="D17" s="35">
        <v>16.0</v>
      </c>
      <c r="E17" s="35">
        <v>16.0</v>
      </c>
      <c r="F17" s="35">
        <v>16.0</v>
      </c>
      <c r="G17" s="35">
        <v>16.0</v>
      </c>
      <c r="H17" s="35">
        <v>16.0</v>
      </c>
      <c r="I17" s="35"/>
    </row>
    <row r="18" ht="13.5" customHeight="1">
      <c r="B18" s="371" t="s">
        <v>798</v>
      </c>
      <c r="C18" s="371">
        <v>16.0</v>
      </c>
      <c r="D18" s="483">
        <v>16.0</v>
      </c>
      <c r="E18" s="371">
        <v>16.0</v>
      </c>
      <c r="F18" s="371">
        <v>16.0</v>
      </c>
      <c r="G18" s="371">
        <v>16.0</v>
      </c>
      <c r="H18" s="371">
        <v>16.0</v>
      </c>
    </row>
    <row r="19" ht="13.5" customHeight="1">
      <c r="B19" s="375" t="s">
        <v>805</v>
      </c>
      <c r="C19" s="375">
        <f t="shared" ref="C19:F19" si="1">C6+C9+C15+C18</f>
        <v>52</v>
      </c>
      <c r="D19" s="375">
        <f t="shared" si="1"/>
        <v>59</v>
      </c>
      <c r="E19" s="375">
        <f t="shared" si="1"/>
        <v>75</v>
      </c>
      <c r="F19" s="375">
        <f t="shared" si="1"/>
        <v>91</v>
      </c>
    </row>
    <row r="20" ht="13.5" customHeight="1"/>
    <row r="21" ht="13.5" customHeight="1"/>
    <row r="22" ht="13.5" customHeight="1"/>
    <row r="23" ht="13.5" customHeight="1">
      <c r="B23" s="477" t="s">
        <v>806</v>
      </c>
    </row>
    <row r="24" ht="13.5" customHeight="1">
      <c r="B24" s="371"/>
      <c r="C24" s="481" t="s">
        <v>791</v>
      </c>
      <c r="D24" s="481" t="s">
        <v>792</v>
      </c>
      <c r="E24" s="481" t="s">
        <v>793</v>
      </c>
      <c r="F24" s="481" t="s">
        <v>794</v>
      </c>
      <c r="G24" s="481" t="s">
        <v>795</v>
      </c>
      <c r="H24" s="481" t="s">
        <v>796</v>
      </c>
    </row>
    <row r="25" ht="13.5" customHeight="1">
      <c r="B25" s="375" t="s">
        <v>797</v>
      </c>
    </row>
    <row r="26" ht="13.5" customHeight="1">
      <c r="B26" s="35" t="s">
        <v>273</v>
      </c>
      <c r="C26" s="35">
        <v>18.0</v>
      </c>
      <c r="D26" s="35">
        <v>21.0</v>
      </c>
      <c r="E26" s="35">
        <v>24.0</v>
      </c>
      <c r="F26" s="35">
        <v>28.0</v>
      </c>
      <c r="G26" s="35">
        <v>31.0</v>
      </c>
      <c r="H26" s="35">
        <v>35.0</v>
      </c>
    </row>
    <row r="27" ht="13.5" customHeight="1">
      <c r="B27" s="35" t="s">
        <v>798</v>
      </c>
      <c r="C27" s="35">
        <v>40.0</v>
      </c>
      <c r="D27" s="482">
        <v>47.0</v>
      </c>
      <c r="E27" s="35">
        <v>61.0</v>
      </c>
      <c r="F27" s="35">
        <v>76.0</v>
      </c>
      <c r="G27" s="35">
        <v>90.0</v>
      </c>
      <c r="H27" s="35">
        <v>105.0</v>
      </c>
    </row>
    <row r="28" ht="13.5" customHeight="1">
      <c r="B28" s="375" t="s">
        <v>799</v>
      </c>
    </row>
    <row r="29" ht="13.5" customHeight="1">
      <c r="B29" s="35" t="s">
        <v>273</v>
      </c>
      <c r="C29" s="35">
        <v>2.0</v>
      </c>
      <c r="D29" s="35">
        <v>2.0</v>
      </c>
      <c r="E29" s="35">
        <v>3.0</v>
      </c>
      <c r="F29" s="35">
        <v>4.0</v>
      </c>
      <c r="G29" s="35">
        <v>5.0</v>
      </c>
      <c r="H29" s="35">
        <v>6.0</v>
      </c>
    </row>
    <row r="30" ht="13.5" customHeight="1">
      <c r="B30" s="35" t="s">
        <v>798</v>
      </c>
      <c r="C30" s="35">
        <v>6.0</v>
      </c>
      <c r="D30" s="482">
        <v>7.0</v>
      </c>
      <c r="E30" s="35">
        <v>10.0</v>
      </c>
      <c r="F30" s="35">
        <v>12.0</v>
      </c>
      <c r="G30" s="35">
        <v>15.0</v>
      </c>
      <c r="H30" s="35">
        <v>18.0</v>
      </c>
    </row>
    <row r="31" ht="13.5" customHeight="1">
      <c r="B31" s="375" t="s">
        <v>800</v>
      </c>
    </row>
    <row r="32" ht="13.5" customHeight="1">
      <c r="B32" s="35" t="s">
        <v>273</v>
      </c>
      <c r="C32" s="35">
        <v>4.0</v>
      </c>
      <c r="D32" s="35">
        <v>9.0</v>
      </c>
      <c r="E32" s="35">
        <v>7.0</v>
      </c>
      <c r="F32" s="35">
        <v>10.0</v>
      </c>
      <c r="G32" s="35">
        <v>12.0</v>
      </c>
      <c r="H32" s="35">
        <v>14.0</v>
      </c>
    </row>
    <row r="33" ht="13.5" customHeight="1">
      <c r="B33" s="35" t="s">
        <v>798</v>
      </c>
      <c r="C33" s="35">
        <v>19.0</v>
      </c>
      <c r="D33" s="35">
        <v>22.0</v>
      </c>
      <c r="E33" s="35">
        <v>28.0</v>
      </c>
      <c r="F33" s="35">
        <v>35.0</v>
      </c>
      <c r="G33" s="35">
        <v>41.0</v>
      </c>
      <c r="H33" s="35">
        <v>47.0</v>
      </c>
    </row>
    <row r="34" ht="13.5" customHeight="1">
      <c r="B34" s="375" t="s">
        <v>801</v>
      </c>
      <c r="C34" s="35">
        <v>12.0</v>
      </c>
      <c r="D34" s="35">
        <v>12.0</v>
      </c>
      <c r="E34" s="35">
        <v>12.0</v>
      </c>
      <c r="F34" s="35">
        <v>12.0</v>
      </c>
      <c r="G34" s="35">
        <v>12.0</v>
      </c>
      <c r="H34" s="35">
        <v>12.0</v>
      </c>
    </row>
    <row r="35" ht="13.5" customHeight="1">
      <c r="B35" s="375" t="s">
        <v>802</v>
      </c>
      <c r="C35" s="35">
        <v>47.0</v>
      </c>
      <c r="D35" s="35">
        <v>49.0</v>
      </c>
      <c r="E35" s="35">
        <v>62.0</v>
      </c>
      <c r="F35" s="35">
        <v>84.0</v>
      </c>
      <c r="G35" s="35">
        <v>107.0</v>
      </c>
      <c r="H35" s="35">
        <v>136.0</v>
      </c>
    </row>
    <row r="36" ht="13.5" customHeight="1">
      <c r="B36" s="375" t="s">
        <v>803</v>
      </c>
      <c r="C36" s="35">
        <v>3.0</v>
      </c>
      <c r="D36" s="482">
        <v>4.0</v>
      </c>
      <c r="E36" s="35">
        <v>6.0</v>
      </c>
      <c r="F36" s="35">
        <v>9.0</v>
      </c>
      <c r="G36" s="35">
        <v>12.0</v>
      </c>
      <c r="H36" s="35">
        <v>15.0</v>
      </c>
    </row>
    <row r="37" ht="13.5" customHeight="1">
      <c r="B37" s="375" t="s">
        <v>804</v>
      </c>
    </row>
    <row r="38" ht="13.5" customHeight="1">
      <c r="B38" s="35" t="s">
        <v>273</v>
      </c>
      <c r="C38" s="35">
        <v>16.0</v>
      </c>
      <c r="D38" s="35">
        <v>16.0</v>
      </c>
      <c r="E38" s="35">
        <v>16.0</v>
      </c>
      <c r="F38" s="35">
        <v>16.0</v>
      </c>
      <c r="G38" s="35">
        <v>16.0</v>
      </c>
      <c r="H38" s="35">
        <v>16.0</v>
      </c>
    </row>
    <row r="39" ht="13.5" customHeight="1">
      <c r="B39" s="371" t="s">
        <v>798</v>
      </c>
      <c r="C39" s="371">
        <v>16.0</v>
      </c>
      <c r="D39" s="483">
        <v>16.0</v>
      </c>
      <c r="E39" s="371">
        <v>16.0</v>
      </c>
      <c r="F39" s="371">
        <v>16.0</v>
      </c>
      <c r="G39" s="371">
        <v>16.0</v>
      </c>
      <c r="H39" s="371">
        <v>16.0</v>
      </c>
    </row>
    <row r="40" ht="13.5" customHeight="1">
      <c r="B40" s="375" t="s">
        <v>805</v>
      </c>
      <c r="C40" s="375">
        <f t="shared" ref="C40:F40" si="2">C27+C30+C36+C39</f>
        <v>65</v>
      </c>
      <c r="D40" s="375">
        <f t="shared" si="2"/>
        <v>74</v>
      </c>
      <c r="E40" s="375">
        <f t="shared" si="2"/>
        <v>93</v>
      </c>
      <c r="F40" s="375">
        <f t="shared" si="2"/>
        <v>113</v>
      </c>
    </row>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4C6E7"/>
    <pageSetUpPr/>
  </sheetPr>
  <sheetViews>
    <sheetView workbookViewId="0"/>
  </sheetViews>
  <sheetFormatPr customHeight="1" defaultColWidth="12.63" defaultRowHeight="15.0"/>
  <cols>
    <col customWidth="1" min="1" max="1" width="2.63"/>
    <col customWidth="1" min="2" max="2" width="46.13"/>
    <col customWidth="1" min="3" max="7" width="20.63"/>
    <col customWidth="1" min="8" max="8" width="14.88"/>
    <col customWidth="1" min="9" max="9" width="14.38"/>
    <col customWidth="1" min="10" max="10" width="15.13"/>
    <col customWidth="1" min="11" max="26" width="8.0"/>
  </cols>
  <sheetData>
    <row r="1" ht="9.0" customHeight="1">
      <c r="A1" s="13"/>
      <c r="B1" s="13"/>
      <c r="C1" s="34"/>
      <c r="D1" s="13"/>
      <c r="E1" s="13"/>
      <c r="F1" s="13"/>
      <c r="G1" s="13"/>
      <c r="H1" s="13"/>
      <c r="I1" s="13"/>
      <c r="J1" s="13"/>
      <c r="K1" s="13"/>
      <c r="L1" s="13"/>
      <c r="M1" s="13"/>
      <c r="N1" s="13"/>
      <c r="O1" s="13"/>
      <c r="P1" s="13"/>
      <c r="Q1" s="13"/>
      <c r="R1" s="13"/>
      <c r="S1" s="13"/>
      <c r="T1" s="13"/>
      <c r="U1" s="13"/>
      <c r="V1" s="13"/>
      <c r="W1" s="13"/>
      <c r="X1" s="13"/>
      <c r="Y1" s="13"/>
      <c r="Z1" s="13"/>
    </row>
    <row r="2">
      <c r="A2" s="13"/>
      <c r="B2" s="36" t="s">
        <v>43</v>
      </c>
      <c r="C2" s="37"/>
      <c r="D2" s="37"/>
      <c r="E2" s="37"/>
      <c r="F2" s="37"/>
      <c r="G2" s="37"/>
      <c r="H2" s="38"/>
      <c r="I2" s="39" t="s">
        <v>44</v>
      </c>
      <c r="J2" s="39"/>
      <c r="K2" s="13"/>
      <c r="L2" s="13"/>
      <c r="M2" s="13"/>
      <c r="N2" s="13"/>
      <c r="O2" s="13"/>
      <c r="P2" s="13"/>
      <c r="Q2" s="13"/>
      <c r="R2" s="13"/>
      <c r="S2" s="13"/>
      <c r="T2" s="13"/>
      <c r="U2" s="13"/>
      <c r="V2" s="13"/>
      <c r="W2" s="13"/>
      <c r="X2" s="13"/>
      <c r="Y2" s="13"/>
      <c r="Z2" s="13"/>
    </row>
    <row r="3">
      <c r="A3" s="13"/>
      <c r="B3" s="13"/>
      <c r="C3" s="34"/>
      <c r="D3" s="13"/>
      <c r="E3" s="13"/>
      <c r="F3" s="13"/>
      <c r="G3" s="13"/>
      <c r="H3" s="13"/>
      <c r="I3" s="13"/>
      <c r="J3" s="13"/>
      <c r="K3" s="13"/>
      <c r="L3" s="13"/>
      <c r="M3" s="13"/>
      <c r="N3" s="13"/>
      <c r="O3" s="13"/>
      <c r="P3" s="13"/>
      <c r="Q3" s="13"/>
      <c r="R3" s="13"/>
      <c r="S3" s="13"/>
      <c r="T3" s="13"/>
      <c r="U3" s="13"/>
      <c r="V3" s="13"/>
      <c r="W3" s="13"/>
      <c r="X3" s="13"/>
      <c r="Y3" s="13"/>
      <c r="Z3" s="13"/>
    </row>
    <row r="4">
      <c r="A4" s="13"/>
      <c r="B4" s="40" t="s">
        <v>45</v>
      </c>
      <c r="C4" s="41"/>
      <c r="D4" s="42" t="s">
        <v>46</v>
      </c>
      <c r="E4" s="41"/>
      <c r="F4" s="13"/>
      <c r="G4" s="13"/>
      <c r="H4" s="13"/>
      <c r="I4" s="13"/>
      <c r="J4" s="13"/>
      <c r="K4" s="13"/>
      <c r="L4" s="13"/>
      <c r="M4" s="13"/>
      <c r="N4" s="13"/>
      <c r="O4" s="13"/>
      <c r="P4" s="13"/>
      <c r="Q4" s="13"/>
      <c r="R4" s="13"/>
      <c r="S4" s="13"/>
      <c r="T4" s="13"/>
      <c r="U4" s="13"/>
      <c r="V4" s="13"/>
      <c r="W4" s="13"/>
      <c r="X4" s="13"/>
      <c r="Y4" s="13"/>
      <c r="Z4" s="13"/>
    </row>
    <row r="5">
      <c r="A5" s="13"/>
      <c r="B5" s="43" t="str">
        <f t="shared" ref="B5:B14" si="1">B20</f>
        <v>WHEDA Tax-Exempt Bond Loan</v>
      </c>
      <c r="C5" s="44">
        <f t="shared" ref="C5:C14" si="2">D20</f>
        <v>18907005.73</v>
      </c>
      <c r="D5" s="45" t="s">
        <v>47</v>
      </c>
      <c r="E5" s="46">
        <f>C44+E44</f>
        <v>0</v>
      </c>
      <c r="F5" s="47" t="s">
        <v>48</v>
      </c>
      <c r="G5" s="48">
        <f>'Loan Sizing (P1B)'!D9/(G126+C42)</f>
        <v>0.5366915524</v>
      </c>
      <c r="H5" s="35"/>
      <c r="I5" s="13"/>
      <c r="J5" s="13"/>
      <c r="K5" s="13"/>
      <c r="L5" s="13"/>
      <c r="M5" s="13"/>
      <c r="N5" s="13"/>
      <c r="O5" s="13"/>
      <c r="P5" s="13"/>
      <c r="Q5" s="13"/>
      <c r="R5" s="13"/>
      <c r="S5" s="13"/>
      <c r="T5" s="13"/>
      <c r="U5" s="13"/>
      <c r="V5" s="13"/>
      <c r="W5" s="13"/>
      <c r="X5" s="13"/>
      <c r="Y5" s="13"/>
      <c r="Z5" s="13"/>
    </row>
    <row r="6">
      <c r="A6" s="13"/>
      <c r="B6" s="43" t="str">
        <f t="shared" si="1"/>
        <v>WHEDA Subordinate Debt</v>
      </c>
      <c r="C6" s="44">
        <f t="shared" si="2"/>
        <v>1650000</v>
      </c>
      <c r="D6" s="49" t="s">
        <v>49</v>
      </c>
      <c r="E6" s="50">
        <f t="shared" ref="E6:E7" si="3">C52+E52</f>
        <v>0</v>
      </c>
      <c r="F6" s="13"/>
      <c r="G6" s="13"/>
      <c r="H6" s="13"/>
      <c r="I6" s="13"/>
      <c r="J6" s="13"/>
      <c r="K6" s="13"/>
      <c r="L6" s="13"/>
      <c r="M6" s="13"/>
      <c r="N6" s="13"/>
      <c r="O6" s="13"/>
      <c r="P6" s="13"/>
      <c r="Q6" s="13"/>
      <c r="R6" s="13"/>
      <c r="S6" s="13"/>
      <c r="T6" s="13"/>
      <c r="U6" s="13"/>
      <c r="V6" s="13"/>
      <c r="W6" s="13"/>
      <c r="X6" s="13"/>
      <c r="Y6" s="13"/>
      <c r="Z6" s="13"/>
    </row>
    <row r="7">
      <c r="A7" s="13"/>
      <c r="B7" s="43" t="str">
        <f t="shared" si="1"/>
        <v>Federal Tax Credit Equity (4%)</v>
      </c>
      <c r="C7" s="44">
        <f t="shared" si="2"/>
        <v>14203689.19</v>
      </c>
      <c r="D7" s="49" t="s">
        <v>49</v>
      </c>
      <c r="E7" s="50">
        <f t="shared" si="3"/>
        <v>32699517.68</v>
      </c>
      <c r="F7" s="13"/>
      <c r="G7" s="13"/>
      <c r="H7" s="13"/>
      <c r="I7" s="13"/>
      <c r="J7" s="13"/>
      <c r="K7" s="13"/>
      <c r="L7" s="13"/>
      <c r="M7" s="13"/>
      <c r="N7" s="13"/>
      <c r="O7" s="13"/>
      <c r="P7" s="13"/>
      <c r="Q7" s="13"/>
      <c r="R7" s="13"/>
      <c r="S7" s="13"/>
      <c r="T7" s="13"/>
      <c r="U7" s="13"/>
      <c r="V7" s="13"/>
      <c r="W7" s="13"/>
      <c r="X7" s="13"/>
      <c r="Y7" s="13"/>
      <c r="Z7" s="13"/>
    </row>
    <row r="8">
      <c r="A8" s="13"/>
      <c r="B8" s="43" t="str">
        <f t="shared" si="1"/>
        <v>State Tax Credit Equity</v>
      </c>
      <c r="C8" s="44">
        <f t="shared" si="2"/>
        <v>5399999.769</v>
      </c>
      <c r="D8" s="49" t="s">
        <v>50</v>
      </c>
      <c r="E8" s="50">
        <f>C64+E64</f>
        <v>659096.0332</v>
      </c>
      <c r="F8" s="13"/>
      <c r="G8" s="13"/>
      <c r="H8" s="13"/>
      <c r="I8" s="13"/>
      <c r="J8" s="13"/>
      <c r="K8" s="13"/>
      <c r="L8" s="13"/>
      <c r="M8" s="13"/>
      <c r="N8" s="13"/>
      <c r="O8" s="13"/>
      <c r="P8" s="13"/>
      <c r="Q8" s="13"/>
      <c r="R8" s="13"/>
      <c r="S8" s="13"/>
      <c r="T8" s="13"/>
      <c r="U8" s="13"/>
      <c r="V8" s="13"/>
      <c r="W8" s="13"/>
      <c r="X8" s="13"/>
      <c r="Y8" s="13"/>
      <c r="Z8" s="13"/>
    </row>
    <row r="9">
      <c r="A9" s="13"/>
      <c r="B9" s="43" t="str">
        <f t="shared" si="1"/>
        <v>Deferred Developer Fee</v>
      </c>
      <c r="C9" s="44">
        <f t="shared" si="2"/>
        <v>3380000</v>
      </c>
      <c r="D9" s="49" t="s">
        <v>51</v>
      </c>
      <c r="E9" s="50">
        <f>C79+E79</f>
        <v>2420366.329</v>
      </c>
      <c r="F9" s="13"/>
      <c r="G9" s="13"/>
      <c r="H9" s="13"/>
      <c r="I9" s="13"/>
      <c r="J9" s="13"/>
      <c r="K9" s="13"/>
      <c r="L9" s="13"/>
      <c r="M9" s="13"/>
      <c r="N9" s="13"/>
      <c r="O9" s="13"/>
      <c r="P9" s="13"/>
      <c r="Q9" s="13"/>
      <c r="R9" s="13"/>
      <c r="S9" s="13"/>
      <c r="T9" s="13"/>
      <c r="U9" s="13"/>
      <c r="V9" s="13"/>
      <c r="W9" s="13"/>
      <c r="X9" s="13"/>
      <c r="Y9" s="13"/>
      <c r="Z9" s="13"/>
    </row>
    <row r="10">
      <c r="A10" s="13"/>
      <c r="B10" s="43" t="str">
        <f t="shared" si="1"/>
        <v>City of Madison AHF Loan</v>
      </c>
      <c r="C10" s="44">
        <f t="shared" si="2"/>
        <v>1367072</v>
      </c>
      <c r="D10" s="49" t="s">
        <v>52</v>
      </c>
      <c r="E10" s="50">
        <f>C93+E93</f>
        <v>1202101.932</v>
      </c>
      <c r="F10" s="13"/>
      <c r="G10" s="13"/>
      <c r="H10" s="13"/>
      <c r="I10" s="13"/>
      <c r="J10" s="13"/>
      <c r="K10" s="13"/>
      <c r="L10" s="13"/>
      <c r="M10" s="13"/>
      <c r="N10" s="13"/>
      <c r="O10" s="13"/>
      <c r="P10" s="13"/>
      <c r="Q10" s="13"/>
      <c r="R10" s="13"/>
      <c r="S10" s="13"/>
      <c r="T10" s="13"/>
      <c r="U10" s="13"/>
      <c r="V10" s="13"/>
      <c r="W10" s="13"/>
      <c r="X10" s="13"/>
      <c r="Y10" s="13"/>
      <c r="Z10" s="13"/>
    </row>
    <row r="11">
      <c r="A11" s="13"/>
      <c r="B11" s="43" t="str">
        <f t="shared" si="1"/>
        <v>Focus On Energy Solar Incentive (Solar)</v>
      </c>
      <c r="C11" s="44">
        <f t="shared" si="2"/>
        <v>50000</v>
      </c>
      <c r="D11" s="49" t="s">
        <v>53</v>
      </c>
      <c r="E11" s="50">
        <f>C105+E105</f>
        <v>308637.5</v>
      </c>
      <c r="F11" s="13"/>
      <c r="G11" s="13"/>
      <c r="H11" s="13"/>
      <c r="I11" s="13"/>
      <c r="J11" s="13"/>
      <c r="K11" s="13"/>
      <c r="L11" s="13"/>
      <c r="M11" s="13"/>
      <c r="N11" s="13"/>
      <c r="O11" s="13"/>
      <c r="P11" s="13"/>
      <c r="Q11" s="13"/>
      <c r="R11" s="13"/>
      <c r="S11" s="13"/>
      <c r="T11" s="13"/>
      <c r="U11" s="13"/>
      <c r="V11" s="13"/>
      <c r="W11" s="13"/>
      <c r="X11" s="13"/>
      <c r="Y11" s="13"/>
      <c r="Z11" s="13"/>
    </row>
    <row r="12">
      <c r="A12" s="13"/>
      <c r="B12" s="43" t="str">
        <f t="shared" si="1"/>
        <v>RENEW Wisconsin Solar for Good Grant (Solar)</v>
      </c>
      <c r="C12" s="44">
        <f t="shared" si="2"/>
        <v>50000</v>
      </c>
      <c r="D12" s="49" t="s">
        <v>54</v>
      </c>
      <c r="E12" s="50">
        <f>C112+E112</f>
        <v>6760000</v>
      </c>
      <c r="F12" s="13"/>
      <c r="G12" s="13"/>
      <c r="H12" s="13"/>
      <c r="I12" s="13"/>
      <c r="J12" s="13"/>
      <c r="K12" s="13"/>
      <c r="L12" s="13"/>
      <c r="M12" s="13"/>
      <c r="N12" s="13"/>
      <c r="O12" s="13"/>
      <c r="P12" s="13"/>
      <c r="Q12" s="13"/>
      <c r="R12" s="13"/>
      <c r="S12" s="13"/>
      <c r="T12" s="13"/>
      <c r="U12" s="13"/>
      <c r="V12" s="13"/>
      <c r="W12" s="13"/>
      <c r="X12" s="13"/>
      <c r="Y12" s="13"/>
      <c r="Z12" s="13"/>
    </row>
    <row r="13">
      <c r="A13" s="13"/>
      <c r="B13" s="43" t="str">
        <f t="shared" si="1"/>
        <v>Source 9</v>
      </c>
      <c r="C13" s="44">
        <f t="shared" si="2"/>
        <v>0</v>
      </c>
      <c r="D13" s="49" t="s">
        <v>55</v>
      </c>
      <c r="E13" s="50">
        <f>C123+E123</f>
        <v>958047.2049</v>
      </c>
      <c r="F13" s="13"/>
      <c r="G13" s="13"/>
      <c r="H13" s="13"/>
      <c r="I13" s="13"/>
      <c r="J13" s="13"/>
      <c r="K13" s="13"/>
      <c r="L13" s="13"/>
      <c r="M13" s="13"/>
      <c r="N13" s="13"/>
      <c r="O13" s="13"/>
      <c r="P13" s="13"/>
      <c r="Q13" s="13"/>
      <c r="R13" s="13"/>
      <c r="S13" s="13"/>
      <c r="T13" s="13"/>
      <c r="U13" s="13"/>
      <c r="V13" s="13"/>
      <c r="W13" s="13"/>
      <c r="X13" s="13"/>
      <c r="Y13" s="13"/>
      <c r="Z13" s="13"/>
    </row>
    <row r="14">
      <c r="A14" s="13"/>
      <c r="B14" s="43" t="str">
        <f t="shared" si="1"/>
        <v>Source 10</v>
      </c>
      <c r="C14" s="44">
        <f t="shared" si="2"/>
        <v>0</v>
      </c>
      <c r="D14" s="51" t="s">
        <v>56</v>
      </c>
      <c r="E14" s="52">
        <v>0.0</v>
      </c>
      <c r="F14" s="13"/>
      <c r="G14" s="13"/>
      <c r="H14" s="13"/>
      <c r="I14" s="13"/>
      <c r="J14" s="13"/>
      <c r="K14" s="13"/>
      <c r="L14" s="13"/>
      <c r="M14" s="13"/>
      <c r="N14" s="13"/>
      <c r="O14" s="13"/>
      <c r="P14" s="13"/>
      <c r="Q14" s="13"/>
      <c r="R14" s="13"/>
      <c r="S14" s="13"/>
      <c r="T14" s="13"/>
      <c r="U14" s="13"/>
      <c r="V14" s="13"/>
      <c r="W14" s="13"/>
      <c r="X14" s="13"/>
      <c r="Y14" s="13"/>
      <c r="Z14" s="13"/>
    </row>
    <row r="15">
      <c r="A15" s="13"/>
      <c r="B15" s="53" t="s">
        <v>57</v>
      </c>
      <c r="C15" s="54">
        <f>SUM(C5:C14)</f>
        <v>45007766.68</v>
      </c>
      <c r="D15" s="55" t="s">
        <v>58</v>
      </c>
      <c r="E15" s="56">
        <f>SUM(E5:E14)</f>
        <v>45007766.68</v>
      </c>
      <c r="F15" s="47" t="s">
        <v>59</v>
      </c>
      <c r="G15" s="57">
        <f>C15-E15</f>
        <v>0</v>
      </c>
      <c r="H15" s="58"/>
      <c r="I15" s="59"/>
      <c r="J15" s="13"/>
      <c r="K15" s="13"/>
      <c r="L15" s="13"/>
      <c r="M15" s="13"/>
      <c r="N15" s="13"/>
      <c r="O15" s="13"/>
      <c r="P15" s="13"/>
      <c r="Q15" s="13"/>
      <c r="R15" s="13"/>
      <c r="S15" s="13"/>
      <c r="T15" s="13"/>
      <c r="U15" s="13"/>
      <c r="V15" s="13"/>
      <c r="W15" s="13"/>
      <c r="X15" s="13"/>
      <c r="Y15" s="13"/>
      <c r="Z15" s="13"/>
    </row>
    <row r="16">
      <c r="A16" s="13"/>
      <c r="B16" s="13"/>
      <c r="C16" s="34"/>
      <c r="D16" s="13"/>
      <c r="E16" s="13"/>
      <c r="F16" s="13"/>
      <c r="G16" s="13"/>
      <c r="H16" s="13"/>
      <c r="I16" s="13"/>
      <c r="J16" s="13"/>
      <c r="K16" s="13"/>
      <c r="L16" s="13"/>
      <c r="M16" s="13"/>
      <c r="N16" s="13"/>
      <c r="O16" s="13"/>
      <c r="P16" s="13"/>
      <c r="Q16" s="13"/>
      <c r="R16" s="13"/>
      <c r="S16" s="13"/>
      <c r="T16" s="13"/>
      <c r="U16" s="13"/>
      <c r="V16" s="13"/>
      <c r="W16" s="13"/>
      <c r="X16" s="13"/>
      <c r="Y16" s="13"/>
      <c r="Z16" s="13"/>
    </row>
    <row r="17">
      <c r="A17" s="13"/>
      <c r="B17" s="60" t="s">
        <v>45</v>
      </c>
      <c r="C17" s="37"/>
      <c r="D17" s="37"/>
      <c r="E17" s="37"/>
      <c r="F17" s="37"/>
      <c r="G17" s="37"/>
      <c r="H17" s="61"/>
      <c r="I17" s="61"/>
      <c r="J17" s="61"/>
      <c r="K17" s="13"/>
      <c r="L17" s="13"/>
      <c r="M17" s="13"/>
      <c r="N17" s="13"/>
      <c r="O17" s="13"/>
      <c r="P17" s="13"/>
      <c r="Q17" s="13"/>
      <c r="R17" s="13"/>
      <c r="S17" s="13"/>
      <c r="T17" s="13"/>
      <c r="U17" s="13"/>
      <c r="V17" s="13"/>
      <c r="W17" s="13"/>
      <c r="X17" s="13"/>
      <c r="Y17" s="13"/>
      <c r="Z17" s="13"/>
    </row>
    <row r="18">
      <c r="A18" s="13"/>
      <c r="B18" s="62"/>
      <c r="C18" s="34"/>
      <c r="D18" s="13"/>
      <c r="E18" s="13"/>
      <c r="F18" s="13"/>
      <c r="G18" s="13"/>
      <c r="H18" s="13"/>
      <c r="I18" s="13"/>
      <c r="J18" s="13"/>
      <c r="K18" s="13"/>
      <c r="L18" s="13"/>
      <c r="M18" s="13"/>
      <c r="N18" s="13"/>
      <c r="O18" s="13"/>
      <c r="P18" s="13"/>
      <c r="Q18" s="13"/>
      <c r="R18" s="13"/>
      <c r="S18" s="13"/>
      <c r="T18" s="13"/>
      <c r="U18" s="13"/>
      <c r="V18" s="13"/>
      <c r="W18" s="13"/>
      <c r="X18" s="13"/>
      <c r="Y18" s="13"/>
      <c r="Z18" s="13"/>
    </row>
    <row r="19">
      <c r="A19" s="13"/>
      <c r="B19" s="63" t="s">
        <v>60</v>
      </c>
      <c r="C19" s="64" t="s">
        <v>61</v>
      </c>
      <c r="D19" s="64" t="s">
        <v>62</v>
      </c>
      <c r="E19" s="64" t="s">
        <v>63</v>
      </c>
      <c r="F19" s="64" t="s">
        <v>64</v>
      </c>
      <c r="G19" s="65" t="s">
        <v>65</v>
      </c>
      <c r="H19" s="65" t="s">
        <v>66</v>
      </c>
      <c r="I19" s="66" t="s">
        <v>67</v>
      </c>
      <c r="J19" s="13"/>
      <c r="K19" s="13"/>
      <c r="L19" s="13"/>
      <c r="M19" s="13"/>
      <c r="N19" s="13"/>
      <c r="O19" s="13"/>
      <c r="P19" s="13"/>
      <c r="Q19" s="13"/>
      <c r="R19" s="13"/>
      <c r="S19" s="13"/>
      <c r="T19" s="13"/>
      <c r="U19" s="13"/>
      <c r="V19" s="13"/>
      <c r="W19" s="13"/>
      <c r="X19" s="13"/>
      <c r="Y19" s="13"/>
      <c r="Z19" s="13"/>
    </row>
    <row r="20">
      <c r="A20" s="13"/>
      <c r="B20" s="67" t="str">
        <f>'Loan Sizing (P1B)'!C66</f>
        <v>WHEDA Tax-Exempt Bond Loan</v>
      </c>
      <c r="C20" s="68" t="s">
        <v>68</v>
      </c>
      <c r="D20" s="69">
        <f>'Loan Sizing (P1B)'!D75</f>
        <v>18907005.73</v>
      </c>
      <c r="E20" s="70">
        <f>'Loan Sizing (P1B)'!D73</f>
        <v>0.0625</v>
      </c>
      <c r="F20" s="71">
        <f>'Loan Sizing (P1B)'!D72*12</f>
        <v>420</v>
      </c>
      <c r="G20" s="72">
        <f t="shared" ref="G20:G29" si="4">IF(C20="Hard Debt",(PMT(E20/12,F20,-D20)*12),0)</f>
        <v>1331983.004</v>
      </c>
      <c r="H20" s="73">
        <f>D20/unit</f>
        <v>111875.7735</v>
      </c>
      <c r="I20" s="74">
        <f t="shared" ref="I20:I29" si="5">IF(C20="Hard Debt",PMT(E20/12,F20,D20,0),0)</f>
        <v>-110998.5837</v>
      </c>
      <c r="J20" s="75"/>
      <c r="K20" s="13"/>
      <c r="L20" s="13"/>
      <c r="M20" s="13"/>
      <c r="N20" s="13"/>
      <c r="O20" s="13"/>
      <c r="P20" s="13"/>
      <c r="Q20" s="13"/>
      <c r="R20" s="13"/>
      <c r="S20" s="13"/>
      <c r="T20" s="13"/>
      <c r="U20" s="13"/>
      <c r="V20" s="13"/>
      <c r="W20" s="13"/>
      <c r="X20" s="13"/>
      <c r="Y20" s="13"/>
      <c r="Z20" s="13"/>
    </row>
    <row r="21" ht="15.75" customHeight="1">
      <c r="A21" s="13"/>
      <c r="B21" s="76" t="s">
        <v>69</v>
      </c>
      <c r="C21" s="77" t="s">
        <v>68</v>
      </c>
      <c r="D21" s="78">
        <f>'Loan Sizing (P1B)'!D87</f>
        <v>1650000</v>
      </c>
      <c r="E21" s="79">
        <f>'Loan Sizing (P1B)'!D93</f>
        <v>0.03</v>
      </c>
      <c r="F21" s="80">
        <f>'Loan Sizing (P1B)'!D92*12</f>
        <v>420</v>
      </c>
      <c r="G21" s="81">
        <f t="shared" si="4"/>
        <v>76200.33761</v>
      </c>
      <c r="H21" s="82">
        <f>D21/unit</f>
        <v>9763.313609</v>
      </c>
      <c r="I21" s="83">
        <f t="shared" si="5"/>
        <v>-6350.028134</v>
      </c>
      <c r="J21" s="13"/>
      <c r="K21" s="13"/>
      <c r="L21" s="13"/>
      <c r="M21" s="13"/>
      <c r="N21" s="13"/>
      <c r="O21" s="13"/>
      <c r="P21" s="13"/>
      <c r="Q21" s="13"/>
      <c r="R21" s="13"/>
      <c r="S21" s="13"/>
      <c r="T21" s="13"/>
      <c r="U21" s="13"/>
      <c r="V21" s="13"/>
      <c r="W21" s="13"/>
      <c r="X21" s="13"/>
      <c r="Y21" s="13"/>
      <c r="Z21" s="13"/>
    </row>
    <row r="22" ht="15.75" customHeight="1">
      <c r="A22" s="13"/>
      <c r="B22" s="76" t="s">
        <v>70</v>
      </c>
      <c r="C22" s="77" t="s">
        <v>71</v>
      </c>
      <c r="D22" s="78">
        <f>C140</f>
        <v>14203689.19</v>
      </c>
      <c r="E22" s="79">
        <v>0.0</v>
      </c>
      <c r="F22" s="80"/>
      <c r="G22" s="82">
        <f t="shared" si="4"/>
        <v>0</v>
      </c>
      <c r="H22" s="82">
        <f>D22/unit</f>
        <v>84045.49815</v>
      </c>
      <c r="I22" s="83">
        <f t="shared" si="5"/>
        <v>0</v>
      </c>
      <c r="K22" s="13"/>
      <c r="L22" s="13"/>
      <c r="M22" s="13"/>
      <c r="N22" s="13"/>
      <c r="O22" s="13"/>
      <c r="P22" s="13"/>
      <c r="Q22" s="13"/>
      <c r="R22" s="13"/>
      <c r="S22" s="13"/>
      <c r="T22" s="13"/>
      <c r="U22" s="13"/>
      <c r="V22" s="13"/>
      <c r="W22" s="13"/>
      <c r="X22" s="13"/>
      <c r="Y22" s="13"/>
      <c r="Z22" s="13"/>
    </row>
    <row r="23" ht="15.75" customHeight="1">
      <c r="A23" s="13"/>
      <c r="B23" s="76" t="s">
        <v>72</v>
      </c>
      <c r="C23" s="77" t="s">
        <v>71</v>
      </c>
      <c r="D23" s="78">
        <f>C167</f>
        <v>5399999.769</v>
      </c>
      <c r="E23" s="79">
        <v>0.0</v>
      </c>
      <c r="F23" s="80"/>
      <c r="G23" s="84">
        <f t="shared" si="4"/>
        <v>0</v>
      </c>
      <c r="H23" s="84">
        <f>D23/unit</f>
        <v>31952.66136</v>
      </c>
      <c r="I23" s="85">
        <f t="shared" si="5"/>
        <v>0</v>
      </c>
      <c r="J23" s="13"/>
      <c r="K23" s="13"/>
      <c r="L23" s="13"/>
      <c r="M23" s="13"/>
      <c r="N23" s="13"/>
      <c r="O23" s="13"/>
      <c r="P23" s="13"/>
      <c r="Q23" s="13"/>
      <c r="R23" s="13"/>
      <c r="S23" s="13"/>
      <c r="T23" s="13"/>
      <c r="U23" s="13"/>
      <c r="V23" s="13"/>
      <c r="W23" s="13"/>
      <c r="X23" s="13"/>
      <c r="Y23" s="13"/>
      <c r="Z23" s="13"/>
    </row>
    <row r="24" ht="15.75" customHeight="1">
      <c r="A24" s="13"/>
      <c r="B24" s="76" t="s">
        <v>73</v>
      </c>
      <c r="C24" s="77" t="s">
        <v>73</v>
      </c>
      <c r="D24" s="78">
        <f>C110*0.5</f>
        <v>3380000</v>
      </c>
      <c r="E24" s="79">
        <v>0.0</v>
      </c>
      <c r="F24" s="80"/>
      <c r="G24" s="84">
        <f t="shared" si="4"/>
        <v>0</v>
      </c>
      <c r="H24" s="84">
        <f>D24/unit</f>
        <v>20000</v>
      </c>
      <c r="I24" s="85">
        <f t="shared" si="5"/>
        <v>0</v>
      </c>
      <c r="J24" s="58"/>
      <c r="K24" s="13"/>
      <c r="L24" s="13"/>
      <c r="M24" s="13"/>
      <c r="N24" s="13"/>
      <c r="O24" s="13"/>
      <c r="P24" s="13"/>
      <c r="Q24" s="13"/>
      <c r="R24" s="13"/>
      <c r="S24" s="13"/>
      <c r="T24" s="13"/>
      <c r="U24" s="13"/>
      <c r="V24" s="13"/>
      <c r="W24" s="13"/>
      <c r="X24" s="13"/>
      <c r="Y24" s="13"/>
      <c r="Z24" s="13"/>
    </row>
    <row r="25" ht="15.75" customHeight="1">
      <c r="A25" s="13"/>
      <c r="B25" s="76" t="s">
        <v>74</v>
      </c>
      <c r="C25" s="77" t="s">
        <v>75</v>
      </c>
      <c r="D25" s="78">
        <v>1367072.0</v>
      </c>
      <c r="E25" s="79">
        <v>0.0275</v>
      </c>
      <c r="F25" s="80"/>
      <c r="G25" s="84">
        <f t="shared" si="4"/>
        <v>0</v>
      </c>
      <c r="H25" s="84">
        <f>D25/unit</f>
        <v>8089.183432</v>
      </c>
      <c r="I25" s="85">
        <f t="shared" si="5"/>
        <v>0</v>
      </c>
      <c r="J25" s="13"/>
      <c r="K25" s="13"/>
      <c r="L25" s="13"/>
      <c r="M25" s="13"/>
      <c r="N25" s="13"/>
      <c r="O25" s="13"/>
      <c r="P25" s="13"/>
      <c r="Q25" s="13"/>
      <c r="R25" s="13"/>
      <c r="S25" s="13"/>
      <c r="T25" s="13"/>
      <c r="U25" s="13"/>
      <c r="V25" s="13"/>
      <c r="W25" s="13"/>
      <c r="X25" s="13"/>
      <c r="Y25" s="13"/>
      <c r="Z25" s="13"/>
    </row>
    <row r="26" ht="15.75" customHeight="1">
      <c r="A26" s="13"/>
      <c r="B26" s="76" t="s">
        <v>76</v>
      </c>
      <c r="C26" s="77" t="s">
        <v>77</v>
      </c>
      <c r="D26" s="78">
        <v>50000.0</v>
      </c>
      <c r="E26" s="79">
        <v>0.0</v>
      </c>
      <c r="F26" s="80"/>
      <c r="G26" s="84">
        <f t="shared" si="4"/>
        <v>0</v>
      </c>
      <c r="H26" s="84">
        <f>D26/unit</f>
        <v>295.8579882</v>
      </c>
      <c r="I26" s="85">
        <f t="shared" si="5"/>
        <v>0</v>
      </c>
      <c r="J26" s="13"/>
      <c r="K26" s="13"/>
      <c r="L26" s="13"/>
      <c r="M26" s="13"/>
      <c r="N26" s="13"/>
      <c r="O26" s="13"/>
      <c r="P26" s="13"/>
      <c r="Q26" s="13"/>
      <c r="R26" s="13"/>
      <c r="S26" s="13"/>
      <c r="T26" s="13"/>
      <c r="U26" s="13"/>
      <c r="V26" s="13"/>
      <c r="W26" s="13"/>
      <c r="X26" s="13"/>
      <c r="Y26" s="13"/>
      <c r="Z26" s="13"/>
    </row>
    <row r="27" ht="15.75" customHeight="1">
      <c r="A27" s="13"/>
      <c r="B27" s="76" t="s">
        <v>78</v>
      </c>
      <c r="C27" s="77" t="s">
        <v>77</v>
      </c>
      <c r="D27" s="78">
        <v>50000.0</v>
      </c>
      <c r="E27" s="79">
        <v>0.0</v>
      </c>
      <c r="F27" s="80"/>
      <c r="G27" s="84">
        <f t="shared" si="4"/>
        <v>0</v>
      </c>
      <c r="H27" s="84">
        <f>D27/unit</f>
        <v>295.8579882</v>
      </c>
      <c r="I27" s="85">
        <f t="shared" si="5"/>
        <v>0</v>
      </c>
      <c r="J27" s="13"/>
      <c r="K27" s="58"/>
      <c r="L27" s="13"/>
      <c r="M27" s="13"/>
      <c r="N27" s="13"/>
      <c r="O27" s="13"/>
      <c r="P27" s="13"/>
      <c r="Q27" s="13"/>
      <c r="R27" s="13"/>
      <c r="S27" s="13"/>
      <c r="T27" s="13"/>
      <c r="U27" s="13"/>
      <c r="V27" s="13"/>
      <c r="W27" s="13"/>
      <c r="X27" s="13"/>
      <c r="Y27" s="13"/>
      <c r="Z27" s="13"/>
    </row>
    <row r="28" ht="15.75" customHeight="1">
      <c r="A28" s="13"/>
      <c r="B28" s="76" t="s">
        <v>79</v>
      </c>
      <c r="C28" s="77"/>
      <c r="D28" s="78">
        <v>0.0</v>
      </c>
      <c r="E28" s="79">
        <v>0.0</v>
      </c>
      <c r="F28" s="80"/>
      <c r="G28" s="84">
        <f t="shared" si="4"/>
        <v>0</v>
      </c>
      <c r="H28" s="84">
        <f>D28/unit</f>
        <v>0</v>
      </c>
      <c r="I28" s="85">
        <f t="shared" si="5"/>
        <v>0</v>
      </c>
      <c r="J28" s="13"/>
      <c r="K28" s="58"/>
      <c r="L28" s="13"/>
      <c r="M28" s="13"/>
      <c r="N28" s="13"/>
      <c r="O28" s="13"/>
      <c r="P28" s="13"/>
      <c r="Q28" s="13"/>
      <c r="R28" s="13"/>
      <c r="S28" s="13"/>
      <c r="T28" s="13"/>
      <c r="U28" s="13"/>
      <c r="V28" s="13"/>
      <c r="W28" s="13"/>
      <c r="X28" s="13"/>
      <c r="Y28" s="13"/>
      <c r="Z28" s="13"/>
    </row>
    <row r="29" ht="15.75" customHeight="1">
      <c r="A29" s="13"/>
      <c r="B29" s="76" t="s">
        <v>80</v>
      </c>
      <c r="C29" s="77"/>
      <c r="D29" s="78">
        <v>0.0</v>
      </c>
      <c r="E29" s="79">
        <v>0.0</v>
      </c>
      <c r="F29" s="86"/>
      <c r="G29" s="87">
        <f t="shared" si="4"/>
        <v>0</v>
      </c>
      <c r="H29" s="88">
        <f>D29/unit</f>
        <v>0</v>
      </c>
      <c r="I29" s="89">
        <f t="shared" si="5"/>
        <v>0</v>
      </c>
      <c r="J29" s="13"/>
      <c r="K29" s="13"/>
      <c r="L29" s="13"/>
      <c r="M29" s="13"/>
      <c r="N29" s="13"/>
      <c r="O29" s="13"/>
      <c r="P29" s="13"/>
      <c r="Q29" s="13"/>
      <c r="R29" s="13"/>
      <c r="S29" s="13"/>
      <c r="T29" s="13"/>
      <c r="U29" s="13"/>
      <c r="V29" s="13"/>
      <c r="W29" s="13"/>
      <c r="X29" s="13"/>
      <c r="Y29" s="13"/>
      <c r="Z29" s="13"/>
    </row>
    <row r="30" ht="15.75" customHeight="1">
      <c r="A30" s="13"/>
      <c r="B30" s="15"/>
      <c r="C30" s="90" t="s">
        <v>81</v>
      </c>
      <c r="D30" s="91">
        <f>SUM(D20:D29)</f>
        <v>45007766.68</v>
      </c>
      <c r="E30" s="92"/>
      <c r="F30" s="90" t="s">
        <v>82</v>
      </c>
      <c r="G30" s="93">
        <f>SUM(G20:G29)</f>
        <v>1408183.342</v>
      </c>
      <c r="H30" s="15"/>
      <c r="I30" s="15"/>
      <c r="J30" s="94"/>
      <c r="K30" s="13"/>
      <c r="L30" s="13"/>
      <c r="M30" s="13"/>
      <c r="N30" s="13"/>
      <c r="O30" s="13"/>
      <c r="P30" s="13"/>
      <c r="Q30" s="13"/>
      <c r="R30" s="13"/>
      <c r="S30" s="13"/>
      <c r="T30" s="13"/>
      <c r="U30" s="13"/>
      <c r="V30" s="13"/>
      <c r="W30" s="13"/>
      <c r="X30" s="13"/>
      <c r="Y30" s="13"/>
      <c r="Z30" s="13"/>
    </row>
    <row r="31" ht="15.75" customHeight="1">
      <c r="A31" s="13"/>
      <c r="B31" s="95"/>
      <c r="C31" s="13"/>
      <c r="D31" s="13"/>
      <c r="E31" s="13"/>
      <c r="F31" s="13"/>
      <c r="G31" s="13"/>
      <c r="H31" s="13"/>
      <c r="I31" s="13"/>
      <c r="J31" s="96"/>
      <c r="K31" s="13"/>
      <c r="L31" s="13"/>
      <c r="M31" s="13"/>
      <c r="N31" s="13"/>
      <c r="O31" s="13"/>
      <c r="P31" s="13"/>
      <c r="Q31" s="13"/>
      <c r="R31" s="13"/>
      <c r="S31" s="13"/>
      <c r="T31" s="13"/>
      <c r="U31" s="13"/>
      <c r="V31" s="13"/>
      <c r="W31" s="13"/>
      <c r="X31" s="13"/>
      <c r="Y31" s="13"/>
      <c r="Z31" s="13"/>
    </row>
    <row r="32" ht="15.75" customHeight="1">
      <c r="A32" s="13"/>
      <c r="B32" s="97" t="s">
        <v>83</v>
      </c>
      <c r="C32" s="98">
        <f>noi</f>
        <v>1531780.455</v>
      </c>
      <c r="D32" s="13"/>
      <c r="E32" s="13"/>
      <c r="F32" s="13"/>
      <c r="G32" s="13"/>
      <c r="H32" s="13"/>
      <c r="I32" s="13"/>
      <c r="J32" s="96"/>
      <c r="K32" s="13"/>
      <c r="L32" s="13"/>
      <c r="M32" s="13"/>
      <c r="N32" s="13"/>
      <c r="O32" s="13"/>
      <c r="P32" s="13"/>
      <c r="Q32" s="13"/>
      <c r="R32" s="13"/>
      <c r="S32" s="13"/>
      <c r="T32" s="13"/>
      <c r="U32" s="13"/>
      <c r="V32" s="13"/>
      <c r="W32" s="13"/>
      <c r="X32" s="13"/>
      <c r="Y32" s="13"/>
      <c r="Z32" s="13"/>
    </row>
    <row r="33" ht="15.75" customHeight="1">
      <c r="A33" s="13"/>
      <c r="B33" s="99" t="s">
        <v>84</v>
      </c>
      <c r="C33" s="100">
        <f>debtservtotal</f>
        <v>1408183.342</v>
      </c>
      <c r="D33" s="13"/>
      <c r="E33" s="13"/>
      <c r="F33" s="13"/>
      <c r="G33" s="13"/>
      <c r="H33" s="13"/>
      <c r="I33" s="13"/>
      <c r="J33" s="96"/>
      <c r="K33" s="13"/>
      <c r="L33" s="96"/>
      <c r="M33" s="13"/>
      <c r="N33" s="13"/>
      <c r="O33" s="13"/>
      <c r="P33" s="13"/>
      <c r="Q33" s="13"/>
      <c r="R33" s="13"/>
      <c r="S33" s="13"/>
      <c r="T33" s="13"/>
      <c r="U33" s="13"/>
      <c r="V33" s="13"/>
      <c r="W33" s="13"/>
      <c r="X33" s="13"/>
      <c r="Y33" s="13"/>
      <c r="Z33" s="13"/>
    </row>
    <row r="34" ht="15.75" customHeight="1">
      <c r="A34" s="13"/>
      <c r="B34" s="101" t="s">
        <v>85</v>
      </c>
      <c r="C34" s="102">
        <f>noi/debtservtotal</f>
        <v>1.087770612</v>
      </c>
      <c r="D34" s="13"/>
      <c r="E34" s="13"/>
      <c r="F34" s="13"/>
      <c r="G34" s="13"/>
      <c r="H34" s="13"/>
      <c r="I34" s="13"/>
      <c r="J34" s="13"/>
      <c r="K34" s="13"/>
      <c r="L34" s="96"/>
      <c r="M34" s="13"/>
      <c r="N34" s="13"/>
      <c r="O34" s="13"/>
      <c r="P34" s="13"/>
      <c r="Q34" s="13"/>
      <c r="R34" s="13"/>
      <c r="S34" s="13"/>
      <c r="T34" s="13"/>
      <c r="U34" s="13"/>
      <c r="V34" s="13"/>
      <c r="W34" s="13"/>
      <c r="X34" s="13"/>
      <c r="Y34" s="13"/>
      <c r="Z34" s="13"/>
    </row>
    <row r="35" ht="15.75" customHeight="1">
      <c r="A35" s="13"/>
      <c r="B35" s="62"/>
      <c r="C35" s="34"/>
      <c r="D35" s="13"/>
      <c r="E35" s="13"/>
      <c r="F35" s="13"/>
      <c r="G35" s="13"/>
      <c r="H35" s="13"/>
      <c r="I35" s="13"/>
      <c r="J35" s="13"/>
      <c r="K35" s="13"/>
      <c r="L35" s="13"/>
      <c r="M35" s="13"/>
      <c r="N35" s="13"/>
      <c r="O35" s="13"/>
      <c r="P35" s="13"/>
      <c r="Q35" s="13"/>
      <c r="R35" s="13"/>
      <c r="S35" s="13"/>
      <c r="T35" s="13"/>
      <c r="U35" s="13"/>
      <c r="V35" s="13"/>
      <c r="W35" s="13"/>
      <c r="X35" s="13"/>
      <c r="Y35" s="13"/>
      <c r="Z35" s="13"/>
    </row>
    <row r="36" ht="15.75" customHeight="1">
      <c r="A36" s="13"/>
      <c r="B36" s="60" t="s">
        <v>46</v>
      </c>
      <c r="C36" s="37"/>
      <c r="D36" s="37"/>
      <c r="E36" s="37"/>
      <c r="F36" s="37"/>
      <c r="G36" s="37"/>
      <c r="H36" s="61"/>
      <c r="I36" s="61"/>
      <c r="J36" s="61"/>
      <c r="K36" s="13"/>
      <c r="L36" s="13"/>
      <c r="M36" s="13"/>
      <c r="N36" s="13"/>
      <c r="O36" s="13"/>
      <c r="P36" s="13"/>
      <c r="Q36" s="13"/>
      <c r="R36" s="13"/>
      <c r="S36" s="13"/>
      <c r="T36" s="13"/>
      <c r="U36" s="13"/>
      <c r="V36" s="13"/>
      <c r="W36" s="13"/>
      <c r="X36" s="13"/>
      <c r="Y36" s="13"/>
      <c r="Z36" s="13"/>
    </row>
    <row r="37" ht="15.75" customHeight="1">
      <c r="A37" s="13"/>
      <c r="B37" s="62"/>
      <c r="C37" s="34"/>
      <c r="D37" s="13"/>
      <c r="E37" s="13"/>
      <c r="F37" s="13"/>
      <c r="G37" s="13"/>
      <c r="H37" s="13"/>
      <c r="I37" s="13"/>
      <c r="J37" s="13"/>
      <c r="K37" s="13"/>
      <c r="L37" s="13"/>
      <c r="M37" s="13"/>
      <c r="N37" s="13"/>
      <c r="O37" s="13"/>
      <c r="P37" s="13"/>
      <c r="Q37" s="13"/>
      <c r="R37" s="13"/>
      <c r="S37" s="13"/>
      <c r="T37" s="13"/>
      <c r="U37" s="13"/>
      <c r="V37" s="13"/>
      <c r="W37" s="13"/>
      <c r="X37" s="13"/>
      <c r="Y37" s="13"/>
      <c r="Z37" s="13"/>
    </row>
    <row r="38" ht="15.75" customHeight="1">
      <c r="A38" s="13"/>
      <c r="B38" s="62"/>
      <c r="C38" s="34"/>
      <c r="D38" s="13"/>
      <c r="E38" s="13"/>
      <c r="F38" s="13"/>
      <c r="G38" s="13"/>
      <c r="H38" s="13"/>
      <c r="I38" s="13"/>
      <c r="J38" s="13"/>
      <c r="K38" s="13"/>
      <c r="L38" s="13"/>
      <c r="M38" s="13"/>
      <c r="N38" s="13"/>
      <c r="O38" s="13"/>
      <c r="P38" s="13"/>
      <c r="Q38" s="13"/>
      <c r="R38" s="13"/>
      <c r="S38" s="13"/>
      <c r="T38" s="13"/>
      <c r="U38" s="13"/>
      <c r="V38" s="13"/>
      <c r="W38" s="13"/>
      <c r="X38" s="13"/>
      <c r="Y38" s="13"/>
      <c r="Z38" s="13"/>
    </row>
    <row r="39" ht="15.75" customHeight="1">
      <c r="A39" s="13"/>
      <c r="B39" s="62"/>
      <c r="C39" s="103" t="s">
        <v>86</v>
      </c>
      <c r="D39" s="103" t="s">
        <v>87</v>
      </c>
      <c r="E39" s="103" t="s">
        <v>88</v>
      </c>
      <c r="F39" s="103" t="s">
        <v>89</v>
      </c>
      <c r="G39" s="103" t="s">
        <v>90</v>
      </c>
      <c r="H39" s="13"/>
      <c r="I39" s="104"/>
      <c r="J39" s="13"/>
      <c r="K39" s="13"/>
      <c r="L39" s="13"/>
      <c r="M39" s="13"/>
      <c r="N39" s="13"/>
      <c r="O39" s="13"/>
      <c r="P39" s="105"/>
      <c r="Q39" s="13"/>
      <c r="R39" s="13"/>
      <c r="S39" s="13"/>
      <c r="T39" s="13"/>
      <c r="U39" s="13"/>
      <c r="V39" s="13"/>
      <c r="W39" s="13"/>
      <c r="X39" s="13"/>
      <c r="Y39" s="13"/>
      <c r="Z39" s="13"/>
    </row>
    <row r="40" ht="15.75" customHeight="1">
      <c r="A40" s="13"/>
      <c r="B40" s="106" t="s">
        <v>91</v>
      </c>
      <c r="C40" s="107"/>
      <c r="D40" s="108"/>
      <c r="E40" s="107"/>
      <c r="F40" s="108"/>
      <c r="G40" s="107"/>
      <c r="H40" s="13"/>
      <c r="I40" s="104"/>
      <c r="J40" s="13"/>
      <c r="K40" s="13"/>
      <c r="L40" s="13"/>
      <c r="M40" s="13"/>
      <c r="N40" s="13"/>
      <c r="O40" s="13"/>
      <c r="P40" s="13"/>
      <c r="Q40" s="13"/>
      <c r="R40" s="13"/>
      <c r="S40" s="13"/>
      <c r="T40" s="13"/>
      <c r="U40" s="13"/>
      <c r="V40" s="13"/>
      <c r="W40" s="13"/>
      <c r="X40" s="13"/>
      <c r="Y40" s="13"/>
      <c r="Z40" s="13"/>
    </row>
    <row r="41" ht="15.75" customHeight="1">
      <c r="A41" s="13"/>
      <c r="B41" s="109" t="s">
        <v>92</v>
      </c>
      <c r="C41" s="110"/>
      <c r="D41" s="111"/>
      <c r="E41" s="111"/>
      <c r="F41" s="111"/>
      <c r="G41" s="111"/>
      <c r="H41" s="13"/>
      <c r="I41" s="13"/>
      <c r="J41" s="13"/>
      <c r="K41" s="13"/>
      <c r="L41" s="13"/>
      <c r="M41" s="13"/>
      <c r="N41" s="13"/>
      <c r="O41" s="13"/>
      <c r="P41" s="13"/>
      <c r="Q41" s="13"/>
      <c r="R41" s="13"/>
      <c r="S41" s="13"/>
      <c r="T41" s="13"/>
      <c r="U41" s="13"/>
      <c r="V41" s="13"/>
      <c r="W41" s="13"/>
      <c r="X41" s="13"/>
      <c r="Y41" s="13"/>
      <c r="Z41" s="13"/>
    </row>
    <row r="42" ht="15.75" customHeight="1">
      <c r="A42" s="13"/>
      <c r="B42" s="112" t="s">
        <v>93</v>
      </c>
      <c r="C42" s="113">
        <v>0.0</v>
      </c>
      <c r="D42" s="114">
        <f>C42/unit</f>
        <v>0</v>
      </c>
      <c r="E42" s="115">
        <v>0.0</v>
      </c>
      <c r="F42" s="114">
        <f>E42/unit</f>
        <v>0</v>
      </c>
      <c r="G42" s="115">
        <v>0.0</v>
      </c>
      <c r="H42" s="13"/>
      <c r="I42" s="34"/>
      <c r="J42" s="13"/>
      <c r="K42" s="13"/>
      <c r="L42" s="13"/>
      <c r="M42" s="13"/>
      <c r="N42" s="13"/>
      <c r="O42" s="13"/>
      <c r="P42" s="13"/>
      <c r="Q42" s="13"/>
      <c r="R42" s="13"/>
      <c r="S42" s="13"/>
      <c r="T42" s="13"/>
      <c r="U42" s="13"/>
      <c r="V42" s="13"/>
      <c r="W42" s="13"/>
      <c r="X42" s="13"/>
      <c r="Y42" s="13"/>
      <c r="Z42" s="13"/>
    </row>
    <row r="43" ht="15.75" customHeight="1">
      <c r="A43" s="13"/>
      <c r="B43" s="116" t="s">
        <v>94</v>
      </c>
      <c r="C43" s="113">
        <v>0.0</v>
      </c>
      <c r="D43" s="114">
        <f>C43/unit</f>
        <v>0</v>
      </c>
      <c r="E43" s="115">
        <v>0.0</v>
      </c>
      <c r="F43" s="114">
        <f>E43/unit</f>
        <v>0</v>
      </c>
      <c r="G43" s="115">
        <v>0.0</v>
      </c>
      <c r="H43" s="13"/>
      <c r="I43" s="34"/>
      <c r="J43" s="13"/>
      <c r="K43" s="13"/>
      <c r="L43" s="13"/>
      <c r="M43" s="13"/>
      <c r="N43" s="13"/>
      <c r="O43" s="13"/>
      <c r="P43" s="13"/>
      <c r="Q43" s="13"/>
      <c r="R43" s="13"/>
      <c r="S43" s="13"/>
      <c r="T43" s="13"/>
      <c r="U43" s="13"/>
      <c r="V43" s="13"/>
      <c r="W43" s="13"/>
      <c r="X43" s="13"/>
      <c r="Y43" s="13"/>
      <c r="Z43" s="13"/>
    </row>
    <row r="44" ht="15.75" customHeight="1">
      <c r="A44" s="13"/>
      <c r="B44" s="117" t="s">
        <v>95</v>
      </c>
      <c r="C44" s="118">
        <f>SUM(C42:C43)</f>
        <v>0</v>
      </c>
      <c r="D44" s="119">
        <f>C44/unit</f>
        <v>0</v>
      </c>
      <c r="E44" s="119">
        <f>SUM(E42:E43)</f>
        <v>0</v>
      </c>
      <c r="F44" s="119">
        <f>E44/unit</f>
        <v>0</v>
      </c>
      <c r="G44" s="119"/>
      <c r="H44" s="13"/>
      <c r="I44" s="13"/>
      <c r="J44" s="13"/>
      <c r="K44" s="13"/>
      <c r="L44" s="13"/>
      <c r="M44" s="13"/>
      <c r="N44" s="13"/>
      <c r="O44" s="13"/>
      <c r="P44" s="13"/>
      <c r="Q44" s="13"/>
      <c r="R44" s="13"/>
      <c r="S44" s="13"/>
      <c r="T44" s="13"/>
      <c r="U44" s="13"/>
      <c r="V44" s="13"/>
      <c r="W44" s="13"/>
      <c r="X44" s="13"/>
      <c r="Y44" s="13"/>
      <c r="Z44" s="13"/>
    </row>
    <row r="45" ht="15.75" customHeight="1">
      <c r="A45" s="13"/>
      <c r="B45" s="120" t="s">
        <v>96</v>
      </c>
      <c r="C45" s="121"/>
      <c r="D45" s="122"/>
      <c r="E45" s="122"/>
      <c r="F45" s="122"/>
      <c r="G45" s="122"/>
      <c r="H45" s="13"/>
      <c r="I45" s="13"/>
      <c r="J45" s="13"/>
      <c r="K45" s="13"/>
      <c r="L45" s="13"/>
      <c r="M45" s="13"/>
      <c r="N45" s="13"/>
      <c r="O45" s="13"/>
      <c r="P45" s="13"/>
      <c r="Q45" s="13"/>
      <c r="R45" s="13"/>
      <c r="S45" s="13"/>
      <c r="T45" s="13"/>
      <c r="U45" s="13"/>
      <c r="V45" s="13"/>
      <c r="W45" s="13"/>
      <c r="X45" s="13"/>
      <c r="Y45" s="13"/>
      <c r="Z45" s="13"/>
    </row>
    <row r="46" ht="15.75" customHeight="1">
      <c r="A46" s="13"/>
      <c r="B46" s="112" t="s">
        <v>97</v>
      </c>
      <c r="C46" s="113">
        <f>'Assumptions (P1B)'!D93*(1+'Assumptions (P1B)'!D94)*(1-'Assumptions (P1B)'!D95)*unit</f>
        <v>27539096.54</v>
      </c>
      <c r="D46" s="114">
        <f>C46/unit</f>
        <v>162953.234</v>
      </c>
      <c r="E46" s="115">
        <v>0.0</v>
      </c>
      <c r="F46" s="114">
        <f>E46/unit</f>
        <v>0</v>
      </c>
      <c r="G46" s="115">
        <f t="shared" ref="G46:G48" si="6">C46</f>
        <v>27539096.54</v>
      </c>
      <c r="H46" s="13"/>
      <c r="I46" s="123"/>
      <c r="J46" s="13"/>
      <c r="K46" s="13"/>
      <c r="L46" s="13"/>
      <c r="M46" s="13"/>
      <c r="N46" s="13"/>
      <c r="O46" s="13"/>
      <c r="P46" s="13"/>
      <c r="Q46" s="13"/>
      <c r="R46" s="13"/>
      <c r="S46" s="13"/>
      <c r="T46" s="13"/>
      <c r="U46" s="13"/>
      <c r="V46" s="13"/>
      <c r="W46" s="13"/>
      <c r="X46" s="13"/>
      <c r="Y46" s="13"/>
      <c r="Z46" s="13"/>
    </row>
    <row r="47" ht="15.75" customHeight="1">
      <c r="A47" s="13"/>
      <c r="B47" s="112" t="s">
        <v>98</v>
      </c>
      <c r="C47" s="113">
        <f>C46*'Assumptions (P1B)'!D96</f>
        <v>1376954.827</v>
      </c>
      <c r="D47" s="114">
        <f>C47/unit</f>
        <v>8147.661698</v>
      </c>
      <c r="E47" s="115">
        <v>0.0</v>
      </c>
      <c r="F47" s="114">
        <f>E47/unit</f>
        <v>0</v>
      </c>
      <c r="G47" s="115">
        <f t="shared" si="6"/>
        <v>1376954.827</v>
      </c>
      <c r="H47" s="13"/>
      <c r="J47" s="13"/>
      <c r="K47" s="13"/>
      <c r="L47" s="13"/>
      <c r="M47" s="13"/>
      <c r="N47" s="13"/>
      <c r="O47" s="13"/>
      <c r="P47" s="13"/>
      <c r="Q47" s="13"/>
      <c r="R47" s="13"/>
      <c r="S47" s="13"/>
      <c r="T47" s="13"/>
      <c r="U47" s="13"/>
      <c r="V47" s="13"/>
      <c r="W47" s="13"/>
      <c r="X47" s="13"/>
      <c r="Y47" s="13"/>
      <c r="Z47" s="13"/>
    </row>
    <row r="48" ht="15.75" customHeight="1">
      <c r="A48" s="13"/>
      <c r="B48" s="112" t="s">
        <v>99</v>
      </c>
      <c r="C48" s="113">
        <f>C46*('Assumptions (P1B)'!D97+'Assumptions (P1B)'!D98)</f>
        <v>1927736.758</v>
      </c>
      <c r="D48" s="114">
        <f>C48/unit</f>
        <v>11406.72638</v>
      </c>
      <c r="E48" s="115">
        <v>0.0</v>
      </c>
      <c r="F48" s="114">
        <f>E48/unit</f>
        <v>0</v>
      </c>
      <c r="G48" s="115">
        <f t="shared" si="6"/>
        <v>1927736.758</v>
      </c>
      <c r="H48" s="13"/>
      <c r="I48" s="124"/>
      <c r="J48" s="13"/>
      <c r="K48" s="13"/>
      <c r="L48" s="13"/>
      <c r="M48" s="13"/>
      <c r="N48" s="13"/>
      <c r="O48" s="13"/>
      <c r="P48" s="13"/>
      <c r="Q48" s="13"/>
      <c r="R48" s="13"/>
      <c r="S48" s="13"/>
      <c r="T48" s="13"/>
      <c r="U48" s="13"/>
      <c r="V48" s="13"/>
      <c r="W48" s="13"/>
      <c r="X48" s="13"/>
      <c r="Y48" s="13"/>
      <c r="Z48" s="13"/>
    </row>
    <row r="49" ht="15.75" customHeight="1">
      <c r="A49" s="13"/>
      <c r="B49" s="112" t="s">
        <v>100</v>
      </c>
      <c r="C49" s="113">
        <f>C46*'Assumptions (P1B)'!D99</f>
        <v>826172.8961</v>
      </c>
      <c r="D49" s="114">
        <f>C49/unit</f>
        <v>4888.597019</v>
      </c>
      <c r="E49" s="115">
        <v>0.0</v>
      </c>
      <c r="F49" s="114">
        <f>E49/unit</f>
        <v>0</v>
      </c>
      <c r="G49" s="115">
        <v>0.0</v>
      </c>
      <c r="H49" s="13"/>
      <c r="I49" s="123"/>
      <c r="J49" s="13"/>
      <c r="K49" s="13"/>
      <c r="L49" s="13"/>
      <c r="M49" s="13"/>
      <c r="N49" s="13"/>
      <c r="O49" s="13"/>
      <c r="P49" s="13"/>
      <c r="Q49" s="13"/>
      <c r="R49" s="13"/>
      <c r="S49" s="13"/>
      <c r="T49" s="13"/>
      <c r="U49" s="13"/>
      <c r="V49" s="13"/>
      <c r="W49" s="13"/>
      <c r="X49" s="13"/>
      <c r="Y49" s="13"/>
      <c r="Z49" s="13"/>
    </row>
    <row r="50" ht="15.75" customHeight="1">
      <c r="A50" s="13"/>
      <c r="B50" s="112" t="s">
        <v>101</v>
      </c>
      <c r="C50" s="113">
        <f>'Assumptions (P1B)'!D107</f>
        <v>1029556.667</v>
      </c>
      <c r="D50" s="114">
        <f>C50/unit</f>
        <v>6092.051282</v>
      </c>
      <c r="E50" s="115">
        <v>0.0</v>
      </c>
      <c r="F50" s="114">
        <f>E50/unit</f>
        <v>0</v>
      </c>
      <c r="G50" s="115">
        <v>0.0</v>
      </c>
      <c r="H50" s="123"/>
      <c r="I50" s="123"/>
      <c r="J50" s="95"/>
      <c r="K50" s="13"/>
      <c r="L50" s="13"/>
      <c r="M50" s="13"/>
      <c r="N50" s="13"/>
      <c r="O50" s="13"/>
      <c r="P50" s="13"/>
      <c r="Q50" s="13"/>
      <c r="R50" s="13"/>
      <c r="S50" s="13"/>
      <c r="T50" s="13"/>
      <c r="U50" s="13"/>
      <c r="V50" s="13"/>
      <c r="W50" s="13"/>
      <c r="X50" s="13"/>
      <c r="Y50" s="13"/>
      <c r="Z50" s="13"/>
    </row>
    <row r="51" ht="15.75" customHeight="1">
      <c r="A51" s="13"/>
      <c r="B51" s="116" t="s">
        <v>102</v>
      </c>
      <c r="C51" s="113">
        <v>0.0</v>
      </c>
      <c r="D51" s="114">
        <f>C51/unit</f>
        <v>0</v>
      </c>
      <c r="E51" s="115">
        <v>0.0</v>
      </c>
      <c r="F51" s="114">
        <f>E51/unit</f>
        <v>0</v>
      </c>
      <c r="G51" s="115">
        <f t="shared" ref="G51:G52" si="7">C51</f>
        <v>0</v>
      </c>
      <c r="H51" s="13"/>
      <c r="J51" s="95"/>
      <c r="K51" s="13"/>
      <c r="L51" s="13"/>
      <c r="M51" s="13"/>
      <c r="N51" s="13"/>
      <c r="O51" s="13"/>
      <c r="P51" s="13"/>
      <c r="Q51" s="13"/>
      <c r="R51" s="13"/>
      <c r="S51" s="13"/>
      <c r="T51" s="13"/>
      <c r="U51" s="13"/>
      <c r="V51" s="13"/>
      <c r="W51" s="13"/>
      <c r="X51" s="13"/>
      <c r="Y51" s="13"/>
      <c r="Z51" s="13"/>
    </row>
    <row r="52" ht="15.75" customHeight="1">
      <c r="A52" s="13"/>
      <c r="B52" s="116" t="s">
        <v>102</v>
      </c>
      <c r="C52" s="125">
        <v>0.0</v>
      </c>
      <c r="D52" s="114">
        <f>C52/unit</f>
        <v>0</v>
      </c>
      <c r="E52" s="126">
        <v>0.0</v>
      </c>
      <c r="F52" s="114">
        <f>E52/unit</f>
        <v>0</v>
      </c>
      <c r="G52" s="115">
        <f t="shared" si="7"/>
        <v>0</v>
      </c>
      <c r="H52" s="13"/>
      <c r="I52" s="104"/>
      <c r="J52" s="95"/>
      <c r="K52" s="13"/>
      <c r="L52" s="13"/>
      <c r="M52" s="13"/>
      <c r="N52" s="13"/>
      <c r="O52" s="13"/>
      <c r="P52" s="13"/>
      <c r="Q52" s="13"/>
      <c r="R52" s="13"/>
      <c r="S52" s="13"/>
      <c r="T52" s="13"/>
      <c r="U52" s="13"/>
      <c r="V52" s="13"/>
      <c r="W52" s="13"/>
      <c r="X52" s="13"/>
      <c r="Y52" s="13"/>
      <c r="Z52" s="13"/>
    </row>
    <row r="53" ht="15.75" customHeight="1">
      <c r="A53" s="13"/>
      <c r="B53" s="117" t="s">
        <v>95</v>
      </c>
      <c r="C53" s="118">
        <f>SUM(C46:C52)</f>
        <v>32699517.68</v>
      </c>
      <c r="D53" s="118">
        <f>C53/unit</f>
        <v>193488.2703</v>
      </c>
      <c r="E53" s="118">
        <f>SUM(E46:E52)</f>
        <v>0</v>
      </c>
      <c r="F53" s="118">
        <f>E53/unit</f>
        <v>0</v>
      </c>
      <c r="G53" s="118">
        <f>SUM(G46:G52)</f>
        <v>30843788.12</v>
      </c>
      <c r="H53" s="13"/>
      <c r="I53" s="13"/>
      <c r="J53" s="13"/>
      <c r="K53" s="13"/>
      <c r="L53" s="13"/>
      <c r="M53" s="13"/>
      <c r="N53" s="13"/>
      <c r="O53" s="13"/>
      <c r="P53" s="13"/>
      <c r="Q53" s="13"/>
      <c r="R53" s="13"/>
      <c r="S53" s="13"/>
      <c r="T53" s="13"/>
      <c r="U53" s="13"/>
      <c r="V53" s="13"/>
      <c r="W53" s="13"/>
      <c r="X53" s="13"/>
      <c r="Y53" s="13"/>
      <c r="Z53" s="13"/>
    </row>
    <row r="54" ht="15.75" customHeight="1">
      <c r="A54" s="13"/>
      <c r="B54" s="127" t="s">
        <v>103</v>
      </c>
      <c r="C54" s="128">
        <f>C44+C53</f>
        <v>32699517.68</v>
      </c>
      <c r="D54" s="128">
        <f>C54/unit</f>
        <v>193488.2703</v>
      </c>
      <c r="E54" s="128">
        <f>E44+E53</f>
        <v>0</v>
      </c>
      <c r="F54" s="128">
        <f>E54/unit</f>
        <v>0</v>
      </c>
      <c r="G54" s="128">
        <f>G44+G53</f>
        <v>30843788.12</v>
      </c>
      <c r="H54" s="13"/>
      <c r="I54" s="13"/>
      <c r="J54" s="13"/>
      <c r="K54" s="13"/>
      <c r="L54" s="13"/>
      <c r="M54" s="13"/>
      <c r="N54" s="13"/>
      <c r="O54" s="13"/>
      <c r="P54" s="13"/>
      <c r="Q54" s="13"/>
      <c r="R54" s="13"/>
      <c r="S54" s="13"/>
      <c r="T54" s="13"/>
      <c r="U54" s="13"/>
      <c r="V54" s="13"/>
      <c r="W54" s="13"/>
      <c r="X54" s="13"/>
      <c r="Y54" s="13"/>
      <c r="Z54" s="13"/>
    </row>
    <row r="55" ht="15.75" customHeight="1">
      <c r="A55" s="13"/>
      <c r="B55" s="129"/>
      <c r="C55" s="130"/>
      <c r="D55" s="130"/>
      <c r="E55" s="130"/>
      <c r="F55" s="130"/>
      <c r="G55" s="130"/>
      <c r="H55" s="13"/>
      <c r="I55" s="13"/>
      <c r="J55" s="13"/>
      <c r="K55" s="13"/>
      <c r="L55" s="13"/>
      <c r="M55" s="13"/>
      <c r="N55" s="13"/>
      <c r="O55" s="13"/>
      <c r="P55" s="13"/>
      <c r="Q55" s="13"/>
      <c r="R55" s="13"/>
      <c r="S55" s="13"/>
      <c r="T55" s="13"/>
      <c r="U55" s="13"/>
      <c r="V55" s="13"/>
      <c r="W55" s="13"/>
      <c r="X55" s="13"/>
      <c r="Y55" s="13"/>
      <c r="Z55" s="13"/>
    </row>
    <row r="56" ht="15.75" customHeight="1">
      <c r="A56" s="13"/>
      <c r="B56" s="106" t="s">
        <v>104</v>
      </c>
      <c r="C56" s="107"/>
      <c r="D56" s="108"/>
      <c r="E56" s="107"/>
      <c r="F56" s="108"/>
      <c r="G56" s="107"/>
      <c r="H56" s="13"/>
      <c r="I56" s="13"/>
      <c r="J56" s="13"/>
      <c r="K56" s="13"/>
      <c r="L56" s="13"/>
      <c r="M56" s="13"/>
      <c r="N56" s="13"/>
      <c r="O56" s="13"/>
      <c r="P56" s="13"/>
      <c r="Q56" s="13"/>
      <c r="R56" s="13"/>
      <c r="S56" s="13"/>
      <c r="T56" s="13"/>
      <c r="U56" s="13"/>
      <c r="V56" s="13"/>
      <c r="W56" s="13"/>
      <c r="X56" s="13"/>
      <c r="Y56" s="13"/>
      <c r="Z56" s="13"/>
    </row>
    <row r="57" ht="15.75" customHeight="1">
      <c r="A57" s="13"/>
      <c r="B57" s="120" t="s">
        <v>105</v>
      </c>
      <c r="C57" s="121"/>
      <c r="D57" s="122"/>
      <c r="E57" s="122"/>
      <c r="F57" s="122"/>
      <c r="G57" s="122"/>
      <c r="H57" s="13"/>
      <c r="I57" s="13"/>
      <c r="J57" s="13"/>
      <c r="K57" s="13"/>
      <c r="L57" s="13"/>
      <c r="M57" s="13"/>
      <c r="N57" s="13"/>
      <c r="O57" s="13"/>
      <c r="P57" s="13"/>
      <c r="Q57" s="13"/>
      <c r="R57" s="13"/>
      <c r="S57" s="13"/>
      <c r="T57" s="13"/>
      <c r="U57" s="13"/>
      <c r="V57" s="13"/>
      <c r="W57" s="13"/>
      <c r="X57" s="13"/>
      <c r="Y57" s="13"/>
      <c r="Z57" s="13"/>
    </row>
    <row r="58" ht="15.75" customHeight="1">
      <c r="A58" s="13"/>
      <c r="B58" s="112" t="s">
        <v>106</v>
      </c>
      <c r="C58" s="113">
        <f>C53*'Assumptions (P1B)'!D110</f>
        <v>499249.5614</v>
      </c>
      <c r="D58" s="114">
        <f>C58/unit</f>
        <v>2954.139416</v>
      </c>
      <c r="E58" s="115">
        <v>0.0</v>
      </c>
      <c r="F58" s="114">
        <f>E58/unit</f>
        <v>0</v>
      </c>
      <c r="G58" s="115">
        <f t="shared" ref="G58:G63" si="8">C58</f>
        <v>499249.5614</v>
      </c>
      <c r="H58" s="13"/>
      <c r="I58" s="131"/>
      <c r="J58" s="13"/>
      <c r="K58" s="13"/>
      <c r="L58" s="13"/>
      <c r="M58" s="13"/>
      <c r="N58" s="13"/>
      <c r="O58" s="13"/>
      <c r="P58" s="13"/>
      <c r="Q58" s="13"/>
      <c r="R58" s="13"/>
      <c r="S58" s="13"/>
      <c r="T58" s="13"/>
      <c r="U58" s="13"/>
      <c r="V58" s="13"/>
      <c r="W58" s="13"/>
      <c r="X58" s="13"/>
      <c r="Y58" s="13"/>
      <c r="Z58" s="13"/>
    </row>
    <row r="59" ht="15.75" customHeight="1">
      <c r="A59" s="13"/>
      <c r="B59" s="112" t="s">
        <v>107</v>
      </c>
      <c r="C59" s="113">
        <f>C53*'Assumptions (P1B)'!D111</f>
        <v>67989.72818</v>
      </c>
      <c r="D59" s="114">
        <f>C59/unit</f>
        <v>402.3060839</v>
      </c>
      <c r="E59" s="115">
        <v>0.0</v>
      </c>
      <c r="F59" s="114">
        <f>E59/unit</f>
        <v>0</v>
      </c>
      <c r="G59" s="115">
        <f t="shared" si="8"/>
        <v>67989.72818</v>
      </c>
      <c r="H59" s="13"/>
      <c r="I59" s="104"/>
      <c r="J59" s="13"/>
      <c r="K59" s="13"/>
      <c r="L59" s="13"/>
      <c r="M59" s="13"/>
      <c r="N59" s="13"/>
      <c r="O59" s="13"/>
      <c r="P59" s="13"/>
      <c r="Q59" s="13"/>
      <c r="R59" s="13"/>
      <c r="S59" s="13"/>
      <c r="T59" s="13"/>
      <c r="U59" s="13"/>
      <c r="V59" s="13"/>
      <c r="W59" s="13"/>
      <c r="X59" s="13"/>
      <c r="Y59" s="13"/>
      <c r="Z59" s="13"/>
    </row>
    <row r="60" ht="15.75" customHeight="1">
      <c r="A60" s="13"/>
      <c r="B60" s="112" t="s">
        <v>108</v>
      </c>
      <c r="C60" s="113">
        <f>C53*'Assumptions (P1B)'!D112</f>
        <v>91856.74366</v>
      </c>
      <c r="D60" s="114">
        <f>C60/unit</f>
        <v>543.5310276</v>
      </c>
      <c r="E60" s="115">
        <v>0.0</v>
      </c>
      <c r="F60" s="114">
        <f>E60/unit</f>
        <v>0</v>
      </c>
      <c r="G60" s="115">
        <f t="shared" si="8"/>
        <v>91856.74366</v>
      </c>
      <c r="H60" s="13"/>
      <c r="I60" s="104"/>
      <c r="J60" s="13"/>
      <c r="K60" s="13"/>
      <c r="L60" s="13"/>
      <c r="M60" s="13"/>
      <c r="N60" s="13"/>
      <c r="O60" s="13"/>
      <c r="P60" s="13"/>
      <c r="Q60" s="13"/>
      <c r="R60" s="13"/>
      <c r="S60" s="13"/>
      <c r="T60" s="13"/>
      <c r="U60" s="13"/>
      <c r="V60" s="13"/>
      <c r="W60" s="13"/>
      <c r="X60" s="13"/>
      <c r="Y60" s="13"/>
      <c r="Z60" s="13"/>
    </row>
    <row r="61" ht="15.75" customHeight="1">
      <c r="A61" s="13"/>
      <c r="B61" s="112" t="s">
        <v>102</v>
      </c>
      <c r="C61" s="113">
        <v>0.0</v>
      </c>
      <c r="D61" s="114">
        <f>C61/unit</f>
        <v>0</v>
      </c>
      <c r="E61" s="115">
        <v>0.0</v>
      </c>
      <c r="F61" s="114">
        <f>E61/unit</f>
        <v>0</v>
      </c>
      <c r="G61" s="115">
        <f t="shared" si="8"/>
        <v>0</v>
      </c>
      <c r="H61" s="13"/>
      <c r="I61" s="104"/>
      <c r="J61" s="95"/>
      <c r="K61" s="13"/>
      <c r="L61" s="13"/>
      <c r="M61" s="13"/>
      <c r="N61" s="13"/>
      <c r="O61" s="13"/>
      <c r="P61" s="13"/>
      <c r="Q61" s="13"/>
      <c r="R61" s="13"/>
      <c r="S61" s="13"/>
      <c r="T61" s="13"/>
      <c r="U61" s="13"/>
      <c r="V61" s="13"/>
      <c r="W61" s="13"/>
      <c r="X61" s="13"/>
      <c r="Y61" s="13"/>
      <c r="Z61" s="13"/>
    </row>
    <row r="62" ht="15.75" customHeight="1">
      <c r="A62" s="13"/>
      <c r="B62" s="112" t="s">
        <v>102</v>
      </c>
      <c r="C62" s="113">
        <v>0.0</v>
      </c>
      <c r="D62" s="114">
        <f>C62/unit</f>
        <v>0</v>
      </c>
      <c r="E62" s="115">
        <v>0.0</v>
      </c>
      <c r="F62" s="114">
        <f>E62/unit</f>
        <v>0</v>
      </c>
      <c r="G62" s="115">
        <f t="shared" si="8"/>
        <v>0</v>
      </c>
      <c r="H62" s="13"/>
      <c r="I62" s="104"/>
      <c r="J62" s="95"/>
      <c r="K62" s="13"/>
      <c r="L62" s="13"/>
      <c r="M62" s="13"/>
      <c r="N62" s="13"/>
      <c r="O62" s="13"/>
      <c r="P62" s="13"/>
      <c r="Q62" s="13"/>
      <c r="R62" s="13"/>
      <c r="S62" s="13"/>
      <c r="T62" s="13"/>
      <c r="U62" s="13"/>
      <c r="V62" s="13"/>
      <c r="W62" s="13"/>
      <c r="X62" s="13"/>
      <c r="Y62" s="13"/>
      <c r="Z62" s="13"/>
    </row>
    <row r="63" ht="15.75" customHeight="1">
      <c r="A63" s="13"/>
      <c r="B63" s="116" t="s">
        <v>102</v>
      </c>
      <c r="C63" s="125">
        <v>0.0</v>
      </c>
      <c r="D63" s="114">
        <f>C63/unit</f>
        <v>0</v>
      </c>
      <c r="E63" s="126">
        <v>0.0</v>
      </c>
      <c r="F63" s="114">
        <f>E63/unit</f>
        <v>0</v>
      </c>
      <c r="G63" s="115">
        <f t="shared" si="8"/>
        <v>0</v>
      </c>
      <c r="H63" s="13"/>
      <c r="I63" s="104"/>
      <c r="J63" s="95"/>
      <c r="K63" s="13"/>
      <c r="L63" s="13"/>
      <c r="M63" s="13"/>
      <c r="N63" s="13"/>
      <c r="O63" s="13"/>
      <c r="P63" s="13"/>
      <c r="Q63" s="13"/>
      <c r="R63" s="13"/>
      <c r="S63" s="13"/>
      <c r="T63" s="13"/>
      <c r="U63" s="13"/>
      <c r="V63" s="13"/>
      <c r="W63" s="13"/>
      <c r="X63" s="13"/>
      <c r="Y63" s="13"/>
      <c r="Z63" s="13"/>
    </row>
    <row r="64" ht="15.75" customHeight="1">
      <c r="A64" s="13"/>
      <c r="B64" s="117" t="s">
        <v>95</v>
      </c>
      <c r="C64" s="118">
        <f>SUM(C57:C63)</f>
        <v>659096.0332</v>
      </c>
      <c r="D64" s="118">
        <f>C64/unit</f>
        <v>3899.976528</v>
      </c>
      <c r="E64" s="118">
        <f>SUM(E57:E63)</f>
        <v>0</v>
      </c>
      <c r="F64" s="118">
        <f>E64/unit</f>
        <v>0</v>
      </c>
      <c r="G64" s="118">
        <f>SUM(G57:G63)</f>
        <v>659096.0332</v>
      </c>
      <c r="H64" s="13"/>
      <c r="I64" s="13"/>
      <c r="J64" s="13"/>
      <c r="K64" s="13"/>
      <c r="L64" s="13"/>
      <c r="M64" s="13"/>
      <c r="N64" s="13"/>
      <c r="O64" s="13"/>
      <c r="P64" s="13"/>
      <c r="Q64" s="13"/>
      <c r="R64" s="13"/>
      <c r="S64" s="13"/>
      <c r="T64" s="13"/>
      <c r="U64" s="13"/>
      <c r="V64" s="13"/>
      <c r="W64" s="13"/>
      <c r="X64" s="13"/>
      <c r="Y64" s="13"/>
      <c r="Z64" s="13"/>
    </row>
    <row r="65" ht="15.75" customHeight="1">
      <c r="A65" s="13"/>
      <c r="B65" s="120" t="s">
        <v>109</v>
      </c>
      <c r="C65" s="132"/>
      <c r="D65" s="133"/>
      <c r="E65" s="133"/>
      <c r="F65" s="133"/>
      <c r="G65" s="133"/>
      <c r="H65" s="13"/>
      <c r="I65" s="13"/>
      <c r="J65" s="13"/>
      <c r="K65" s="13"/>
      <c r="L65" s="13"/>
      <c r="M65" s="13"/>
      <c r="N65" s="13"/>
      <c r="O65" s="13"/>
      <c r="P65" s="13"/>
      <c r="Q65" s="13"/>
      <c r="R65" s="13"/>
      <c r="S65" s="13"/>
      <c r="T65" s="13"/>
      <c r="U65" s="13"/>
      <c r="V65" s="13"/>
      <c r="W65" s="13"/>
      <c r="X65" s="13"/>
      <c r="Y65" s="13"/>
      <c r="Z65" s="13"/>
    </row>
    <row r="66" ht="15.75" customHeight="1">
      <c r="A66" s="13"/>
      <c r="B66" s="134" t="s">
        <v>110</v>
      </c>
      <c r="C66" s="135">
        <f>'Loan Sizing (P1B)'!D59</f>
        <v>6134.495614</v>
      </c>
      <c r="D66" s="136">
        <f>C66/unit</f>
        <v>36.29879061</v>
      </c>
      <c r="E66" s="115">
        <v>0.0</v>
      </c>
      <c r="F66" s="136">
        <v>0.0</v>
      </c>
      <c r="G66" s="115">
        <f t="shared" ref="G66:G67" si="9">C66</f>
        <v>6134.495614</v>
      </c>
      <c r="H66" s="13"/>
      <c r="I66" s="13"/>
      <c r="J66" s="13"/>
      <c r="K66" s="13"/>
      <c r="L66" s="13"/>
      <c r="M66" s="13"/>
      <c r="N66" s="13"/>
      <c r="O66" s="13"/>
      <c r="P66" s="13"/>
      <c r="Q66" s="13"/>
      <c r="R66" s="13"/>
      <c r="S66" s="13"/>
      <c r="T66" s="13"/>
      <c r="U66" s="13"/>
      <c r="V66" s="13"/>
      <c r="W66" s="13"/>
      <c r="X66" s="13"/>
      <c r="Y66" s="13"/>
      <c r="Z66" s="13"/>
    </row>
    <row r="67" ht="15.75" customHeight="1">
      <c r="A67" s="13"/>
      <c r="B67" s="134" t="s">
        <v>111</v>
      </c>
      <c r="C67" s="113">
        <f>'Loan Sizing (P1B)'!D56</f>
        <v>30672.47807</v>
      </c>
      <c r="D67" s="136">
        <f>C67/unit</f>
        <v>181.4939531</v>
      </c>
      <c r="E67" s="115">
        <v>0.0</v>
      </c>
      <c r="F67" s="136">
        <v>0.0</v>
      </c>
      <c r="G67" s="115">
        <f t="shared" si="9"/>
        <v>30672.47807</v>
      </c>
      <c r="H67" s="13"/>
      <c r="I67" s="13"/>
      <c r="J67" s="13"/>
      <c r="K67" s="13"/>
      <c r="L67" s="13"/>
      <c r="M67" s="13"/>
      <c r="N67" s="13"/>
      <c r="O67" s="13"/>
      <c r="P67" s="13"/>
      <c r="Q67" s="13"/>
      <c r="R67" s="13"/>
      <c r="S67" s="13"/>
      <c r="T67" s="13"/>
      <c r="U67" s="13"/>
      <c r="V67" s="13"/>
      <c r="W67" s="13"/>
      <c r="X67" s="13"/>
      <c r="Y67" s="13"/>
      <c r="Z67" s="13"/>
    </row>
    <row r="68" ht="15.75" customHeight="1">
      <c r="A68" s="13"/>
      <c r="B68" s="120" t="s">
        <v>112</v>
      </c>
      <c r="C68" s="121"/>
      <c r="D68" s="137"/>
      <c r="E68" s="122"/>
      <c r="F68" s="137"/>
      <c r="G68" s="122"/>
      <c r="H68" s="13"/>
      <c r="I68" s="13"/>
      <c r="J68" s="13"/>
      <c r="K68" s="13"/>
      <c r="L68" s="13"/>
      <c r="M68" s="13"/>
      <c r="N68" s="13"/>
      <c r="O68" s="13"/>
      <c r="P68" s="13"/>
      <c r="Q68" s="13"/>
      <c r="R68" s="13"/>
      <c r="S68" s="13"/>
      <c r="T68" s="13"/>
      <c r="U68" s="13"/>
      <c r="V68" s="13"/>
      <c r="W68" s="13"/>
      <c r="X68" s="13"/>
      <c r="Y68" s="13"/>
      <c r="Z68" s="13"/>
    </row>
    <row r="69" ht="15.75" customHeight="1">
      <c r="A69" s="13"/>
      <c r="B69" s="112" t="s">
        <v>113</v>
      </c>
      <c r="C69" s="113">
        <f>('Loan Sizing (P1B)'!D31+'Loan Sizing (P1B)'!D28)*'Assumptions (P1B)'!D116</f>
        <v>327451.6416</v>
      </c>
      <c r="D69" s="114">
        <f>C69/unit</f>
        <v>1937.583678</v>
      </c>
      <c r="E69" s="115">
        <v>0.0</v>
      </c>
      <c r="F69" s="114">
        <f>E69/unit</f>
        <v>0</v>
      </c>
      <c r="G69" s="115">
        <f t="shared" ref="G69:G78" si="10">C69</f>
        <v>327451.6416</v>
      </c>
      <c r="H69" s="13"/>
      <c r="I69" s="104"/>
      <c r="J69" s="13"/>
      <c r="K69" s="13"/>
      <c r="L69" s="13"/>
      <c r="M69" s="13"/>
      <c r="N69" s="13"/>
      <c r="O69" s="13"/>
      <c r="P69" s="13"/>
      <c r="Q69" s="13"/>
      <c r="R69" s="13"/>
      <c r="S69" s="13"/>
      <c r="T69" s="13"/>
      <c r="U69" s="13"/>
      <c r="V69" s="13"/>
      <c r="W69" s="13"/>
      <c r="X69" s="13"/>
      <c r="Y69" s="13"/>
      <c r="Z69" s="13"/>
    </row>
    <row r="70" ht="15.75" customHeight="1">
      <c r="A70" s="13"/>
      <c r="B70" s="112" t="s">
        <v>114</v>
      </c>
      <c r="C70" s="113">
        <f>'Assumptions (P1B)'!D118</f>
        <v>1388875.039</v>
      </c>
      <c r="D70" s="114">
        <f>C70/unit</f>
        <v>8218.195499</v>
      </c>
      <c r="E70" s="115">
        <v>0.0</v>
      </c>
      <c r="F70" s="114">
        <f>E70/unit</f>
        <v>0</v>
      </c>
      <c r="G70" s="115">
        <f t="shared" si="10"/>
        <v>1388875.039</v>
      </c>
      <c r="H70" s="13"/>
      <c r="I70" s="104"/>
      <c r="J70" s="13"/>
      <c r="K70" s="13"/>
      <c r="L70" s="13"/>
      <c r="M70" s="13"/>
      <c r="N70" s="13"/>
      <c r="O70" s="13"/>
      <c r="P70" s="13"/>
      <c r="Q70" s="13"/>
      <c r="R70" s="13"/>
      <c r="S70" s="13"/>
      <c r="T70" s="13"/>
      <c r="U70" s="13"/>
      <c r="V70" s="13"/>
      <c r="W70" s="13"/>
      <c r="X70" s="13"/>
      <c r="Y70" s="13"/>
      <c r="Z70" s="13"/>
    </row>
    <row r="71" ht="15.75" customHeight="1">
      <c r="A71" s="13"/>
      <c r="B71" s="112" t="s">
        <v>115</v>
      </c>
      <c r="C71" s="113">
        <f>'Assumptions (P1B)'!D119*'Sources &amp; Uses (P1B)'!$C$53</f>
        <v>108776.8049</v>
      </c>
      <c r="D71" s="114">
        <f>C71/unit</f>
        <v>643.6497331</v>
      </c>
      <c r="E71" s="115">
        <v>0.0</v>
      </c>
      <c r="F71" s="114">
        <f>E71/unit</f>
        <v>0</v>
      </c>
      <c r="G71" s="115">
        <f t="shared" si="10"/>
        <v>108776.8049</v>
      </c>
      <c r="H71" s="13"/>
      <c r="I71" s="104"/>
      <c r="J71" s="13"/>
      <c r="K71" s="13"/>
      <c r="L71" s="13"/>
      <c r="M71" s="13"/>
      <c r="N71" s="13"/>
      <c r="O71" s="13"/>
      <c r="P71" s="13"/>
      <c r="Q71" s="13"/>
      <c r="R71" s="13"/>
      <c r="S71" s="13"/>
      <c r="T71" s="13"/>
      <c r="U71" s="13"/>
      <c r="V71" s="13"/>
      <c r="W71" s="13"/>
      <c r="X71" s="13"/>
      <c r="Y71" s="13"/>
      <c r="Z71" s="13"/>
    </row>
    <row r="72" ht="15.75" customHeight="1">
      <c r="A72" s="13"/>
      <c r="B72" s="112" t="s">
        <v>116</v>
      </c>
      <c r="C72" s="113">
        <f>'Loan Sizing (P1B)'!D28*'Assumptions (P1B)'!D129</f>
        <v>220000</v>
      </c>
      <c r="D72" s="114">
        <f>C72/unit</f>
        <v>1301.775148</v>
      </c>
      <c r="E72" s="115">
        <v>0.0</v>
      </c>
      <c r="F72" s="114">
        <f>E72/unit</f>
        <v>0</v>
      </c>
      <c r="G72" s="115">
        <f t="shared" si="10"/>
        <v>220000</v>
      </c>
      <c r="H72" s="13"/>
      <c r="I72" s="104"/>
      <c r="J72" s="13"/>
      <c r="K72" s="13"/>
      <c r="L72" s="13"/>
      <c r="M72" s="13"/>
      <c r="N72" s="13"/>
      <c r="O72" s="13"/>
      <c r="P72" s="13"/>
      <c r="Q72" s="13"/>
      <c r="R72" s="13"/>
      <c r="S72" s="13"/>
      <c r="T72" s="13"/>
      <c r="U72" s="13"/>
      <c r="V72" s="13"/>
      <c r="W72" s="13"/>
      <c r="X72" s="13"/>
      <c r="Y72" s="13"/>
      <c r="Z72" s="13"/>
    </row>
    <row r="73" ht="15.75" customHeight="1">
      <c r="A73" s="13"/>
      <c r="B73" s="112" t="s">
        <v>117</v>
      </c>
      <c r="C73" s="113">
        <f>'Assumptions (P1B)'!D121</f>
        <v>75000</v>
      </c>
      <c r="D73" s="114">
        <f>C73/unit</f>
        <v>443.7869822</v>
      </c>
      <c r="E73" s="115">
        <v>0.0</v>
      </c>
      <c r="F73" s="114">
        <f>E73/unit</f>
        <v>0</v>
      </c>
      <c r="G73" s="115">
        <f t="shared" si="10"/>
        <v>75000</v>
      </c>
      <c r="H73" s="13"/>
      <c r="I73" s="104"/>
      <c r="J73" s="13"/>
      <c r="K73" s="13"/>
      <c r="L73" s="13"/>
      <c r="M73" s="13"/>
      <c r="N73" s="13"/>
      <c r="O73" s="13"/>
      <c r="P73" s="13"/>
      <c r="Q73" s="13"/>
      <c r="R73" s="13"/>
      <c r="S73" s="13"/>
      <c r="T73" s="13"/>
      <c r="U73" s="13"/>
      <c r="V73" s="13"/>
      <c r="W73" s="13"/>
      <c r="X73" s="13"/>
      <c r="Y73" s="13"/>
      <c r="Z73" s="13"/>
    </row>
    <row r="74" ht="15.75" customHeight="1">
      <c r="A74" s="13"/>
      <c r="B74" s="112" t="s">
        <v>118</v>
      </c>
      <c r="C74" s="113">
        <f>'Assumptions (P1B)'!D122</f>
        <v>83608.87097</v>
      </c>
      <c r="D74" s="114">
        <f>C74/unit</f>
        <v>494.7270471</v>
      </c>
      <c r="E74" s="115">
        <v>0.0</v>
      </c>
      <c r="F74" s="114">
        <f>E74/unit</f>
        <v>0</v>
      </c>
      <c r="G74" s="115">
        <f t="shared" si="10"/>
        <v>83608.87097</v>
      </c>
      <c r="H74" s="58"/>
      <c r="I74" s="104"/>
      <c r="J74" s="13"/>
      <c r="K74" s="13"/>
      <c r="L74" s="13"/>
      <c r="M74" s="13"/>
      <c r="N74" s="13"/>
      <c r="O74" s="13"/>
      <c r="P74" s="13"/>
      <c r="Q74" s="13"/>
      <c r="R74" s="13"/>
      <c r="S74" s="13"/>
      <c r="T74" s="13"/>
      <c r="U74" s="13"/>
      <c r="V74" s="13"/>
      <c r="W74" s="13"/>
      <c r="X74" s="13"/>
      <c r="Y74" s="13"/>
      <c r="Z74" s="13"/>
    </row>
    <row r="75" ht="15.75" customHeight="1">
      <c r="A75" s="13"/>
      <c r="B75" s="112" t="str">
        <f>'Assumptions (P1B)'!C123</f>
        <v>Construction Period Inspection Fees</v>
      </c>
      <c r="C75" s="125">
        <f>'Assumptions (P1B)'!D123</f>
        <v>2000</v>
      </c>
      <c r="D75" s="114">
        <f>C75/unit</f>
        <v>11.83431953</v>
      </c>
      <c r="E75" s="115">
        <v>0.0</v>
      </c>
      <c r="F75" s="114">
        <f>E75/unit</f>
        <v>0</v>
      </c>
      <c r="G75" s="115">
        <f t="shared" si="10"/>
        <v>2000</v>
      </c>
      <c r="H75" s="13"/>
      <c r="I75" s="104"/>
      <c r="J75" s="95"/>
      <c r="K75" s="13"/>
      <c r="L75" s="13"/>
      <c r="M75" s="13"/>
      <c r="N75" s="13"/>
      <c r="O75" s="13"/>
      <c r="P75" s="13"/>
      <c r="Q75" s="13"/>
      <c r="R75" s="13"/>
      <c r="S75" s="13"/>
      <c r="T75" s="13"/>
      <c r="U75" s="13"/>
      <c r="V75" s="13"/>
      <c r="W75" s="13"/>
      <c r="X75" s="13"/>
      <c r="Y75" s="13"/>
      <c r="Z75" s="13"/>
    </row>
    <row r="76" ht="15.75" customHeight="1">
      <c r="A76" s="13"/>
      <c r="B76" s="112" t="str">
        <f>'Assumptions (P1B)'!C124</f>
        <v>Loan Documentation Fees</v>
      </c>
      <c r="C76" s="125">
        <f>'Assumptions (P1B)'!D124</f>
        <v>20000</v>
      </c>
      <c r="D76" s="114">
        <f>C76/unit</f>
        <v>118.3431953</v>
      </c>
      <c r="E76" s="115">
        <v>0.0</v>
      </c>
      <c r="F76" s="114">
        <f>E76/unit</f>
        <v>0</v>
      </c>
      <c r="G76" s="115">
        <f t="shared" si="10"/>
        <v>20000</v>
      </c>
      <c r="H76" s="13"/>
      <c r="I76" s="104"/>
      <c r="J76" s="95"/>
      <c r="K76" s="13"/>
      <c r="L76" s="13"/>
      <c r="M76" s="13"/>
      <c r="N76" s="13"/>
      <c r="O76" s="13"/>
      <c r="P76" s="13"/>
      <c r="Q76" s="13"/>
      <c r="R76" s="13"/>
      <c r="S76" s="13"/>
      <c r="T76" s="13"/>
      <c r="U76" s="13"/>
      <c r="V76" s="13"/>
      <c r="W76" s="13"/>
      <c r="X76" s="13"/>
      <c r="Y76" s="13"/>
      <c r="Z76" s="13"/>
    </row>
    <row r="77" ht="15.75" customHeight="1">
      <c r="A77" s="13"/>
      <c r="B77" s="112" t="str">
        <f>'Assumptions (P1B)'!C125</f>
        <v>Cons. Loan Application Fee</v>
      </c>
      <c r="C77" s="125">
        <f>'Assumptions (P1B)'!D125</f>
        <v>500</v>
      </c>
      <c r="D77" s="114">
        <f>C77/unit</f>
        <v>2.958579882</v>
      </c>
      <c r="E77" s="126">
        <v>0.0</v>
      </c>
      <c r="F77" s="114">
        <f>E77/unit</f>
        <v>0</v>
      </c>
      <c r="G77" s="115">
        <f t="shared" si="10"/>
        <v>500</v>
      </c>
      <c r="H77" s="13"/>
      <c r="I77" s="104"/>
      <c r="J77" s="95"/>
      <c r="K77" s="13"/>
      <c r="L77" s="13"/>
      <c r="M77" s="13"/>
      <c r="N77" s="13"/>
      <c r="O77" s="13"/>
      <c r="P77" s="13"/>
      <c r="Q77" s="13"/>
      <c r="R77" s="13"/>
      <c r="S77" s="13"/>
      <c r="T77" s="13"/>
      <c r="U77" s="13"/>
      <c r="V77" s="13"/>
      <c r="W77" s="13"/>
      <c r="X77" s="13"/>
      <c r="Y77" s="13"/>
      <c r="Z77" s="13"/>
    </row>
    <row r="78" ht="15.75" customHeight="1">
      <c r="A78" s="13"/>
      <c r="B78" s="112" t="str">
        <f>'Assumptions (P1B)'!C126</f>
        <v>Impact Fees</v>
      </c>
      <c r="C78" s="125">
        <f>'Assumptions (P1B)'!D126</f>
        <v>194153.9726</v>
      </c>
      <c r="D78" s="114">
        <f>C78/unit</f>
        <v>1148.840074</v>
      </c>
      <c r="E78" s="126">
        <v>0.0</v>
      </c>
      <c r="F78" s="114">
        <f>E78/unit</f>
        <v>0</v>
      </c>
      <c r="G78" s="115">
        <f t="shared" si="10"/>
        <v>194153.9726</v>
      </c>
      <c r="H78" s="13"/>
      <c r="I78" s="104"/>
      <c r="J78" s="95"/>
      <c r="K78" s="13"/>
      <c r="L78" s="13"/>
      <c r="M78" s="13"/>
      <c r="N78" s="13"/>
      <c r="O78" s="13"/>
      <c r="P78" s="13"/>
      <c r="Q78" s="13"/>
      <c r="R78" s="13"/>
      <c r="S78" s="13"/>
      <c r="T78" s="13"/>
      <c r="U78" s="13"/>
      <c r="V78" s="13"/>
      <c r="W78" s="13"/>
      <c r="X78" s="13"/>
      <c r="Y78" s="13"/>
      <c r="Z78" s="13"/>
    </row>
    <row r="79" ht="15.75" customHeight="1">
      <c r="A79" s="13"/>
      <c r="B79" s="117" t="s">
        <v>95</v>
      </c>
      <c r="C79" s="118">
        <f>SUM(C68:C78)</f>
        <v>2420366.329</v>
      </c>
      <c r="D79" s="118">
        <f>C79/unit</f>
        <v>14321.69426</v>
      </c>
      <c r="E79" s="118">
        <f>SUM(E68:E78)</f>
        <v>0</v>
      </c>
      <c r="F79" s="118">
        <f>E79/unit</f>
        <v>0</v>
      </c>
      <c r="G79" s="118">
        <f>SUM(G68:G78)</f>
        <v>2420366.329</v>
      </c>
      <c r="H79" s="13"/>
      <c r="I79" s="13"/>
      <c r="J79" s="13"/>
      <c r="K79" s="13"/>
      <c r="L79" s="13"/>
      <c r="M79" s="13"/>
      <c r="N79" s="13"/>
      <c r="O79" s="13"/>
      <c r="P79" s="13"/>
      <c r="Q79" s="13"/>
      <c r="R79" s="13"/>
      <c r="S79" s="13"/>
      <c r="T79" s="13"/>
      <c r="U79" s="13"/>
      <c r="V79" s="13"/>
      <c r="W79" s="13"/>
      <c r="X79" s="13"/>
      <c r="Y79" s="13"/>
      <c r="Z79" s="13"/>
    </row>
    <row r="80" ht="15.75" customHeight="1">
      <c r="A80" s="13"/>
      <c r="B80" s="120" t="s">
        <v>119</v>
      </c>
      <c r="C80" s="121"/>
      <c r="D80" s="137"/>
      <c r="E80" s="122"/>
      <c r="F80" s="137"/>
      <c r="G80" s="122"/>
      <c r="H80" s="13"/>
      <c r="I80" s="13"/>
      <c r="J80" s="13"/>
      <c r="K80" s="13"/>
      <c r="L80" s="13"/>
      <c r="M80" s="13"/>
      <c r="N80" s="13"/>
      <c r="O80" s="13"/>
      <c r="P80" s="13"/>
      <c r="Q80" s="13"/>
      <c r="R80" s="13"/>
      <c r="S80" s="13"/>
      <c r="T80" s="13"/>
      <c r="U80" s="13"/>
      <c r="V80" s="13"/>
      <c r="W80" s="13"/>
      <c r="X80" s="13"/>
      <c r="Y80" s="13"/>
      <c r="Z80" s="13"/>
    </row>
    <row r="81" ht="15.75" customHeight="1">
      <c r="A81" s="13"/>
      <c r="B81" s="112" t="s">
        <v>120</v>
      </c>
      <c r="C81" s="113">
        <f>'Assumptions (P1B)'!D130</f>
        <v>5000</v>
      </c>
      <c r="D81" s="114">
        <f>C81/unit</f>
        <v>29.58579882</v>
      </c>
      <c r="E81" s="115">
        <v>0.0</v>
      </c>
      <c r="F81" s="114">
        <f>E81/unit</f>
        <v>0</v>
      </c>
      <c r="G81" s="115">
        <v>0.0</v>
      </c>
      <c r="H81" s="13"/>
      <c r="I81" s="104"/>
      <c r="J81" s="13"/>
      <c r="K81" s="13"/>
      <c r="L81" s="138"/>
      <c r="M81" s="13"/>
      <c r="N81" s="13"/>
      <c r="O81" s="13"/>
      <c r="P81" s="13"/>
      <c r="Q81" s="13"/>
      <c r="R81" s="13"/>
      <c r="S81" s="13"/>
      <c r="T81" s="13"/>
      <c r="U81" s="13"/>
      <c r="V81" s="13"/>
      <c r="W81" s="13"/>
      <c r="X81" s="13"/>
      <c r="Y81" s="13"/>
      <c r="Z81" s="13"/>
    </row>
    <row r="82" ht="15.75" customHeight="1">
      <c r="A82" s="13"/>
      <c r="B82" s="112" t="s">
        <v>121</v>
      </c>
      <c r="C82" s="113">
        <f>'Assumptions (P1B)'!D131*16200000+'Assumptions (P1B)'!D132*870000</f>
        <v>831750</v>
      </c>
      <c r="D82" s="114">
        <f>C82/unit</f>
        <v>4921.597633</v>
      </c>
      <c r="E82" s="115">
        <v>0.0</v>
      </c>
      <c r="F82" s="114">
        <f>E82/unit</f>
        <v>0</v>
      </c>
      <c r="G82" s="115">
        <v>0.0</v>
      </c>
      <c r="H82" s="58"/>
      <c r="I82" s="104"/>
      <c r="J82" s="13"/>
      <c r="K82" s="13"/>
      <c r="L82" s="13"/>
      <c r="M82" s="13"/>
      <c r="N82" s="13"/>
      <c r="O82" s="13"/>
      <c r="P82" s="13"/>
      <c r="Q82" s="13"/>
      <c r="R82" s="13"/>
      <c r="S82" s="13"/>
      <c r="T82" s="13"/>
      <c r="U82" s="13"/>
      <c r="V82" s="13"/>
      <c r="W82" s="13"/>
      <c r="X82" s="13"/>
      <c r="Y82" s="13"/>
      <c r="Z82" s="13"/>
    </row>
    <row r="83" ht="15.75" customHeight="1">
      <c r="A83" s="13"/>
      <c r="B83" s="112" t="s">
        <v>122</v>
      </c>
      <c r="C83" s="113">
        <f>'Assumptions (P1B)'!D133</f>
        <v>2500</v>
      </c>
      <c r="D83" s="114">
        <f>C83/unit</f>
        <v>14.79289941</v>
      </c>
      <c r="E83" s="115">
        <v>0.0</v>
      </c>
      <c r="F83" s="114">
        <f>E83/unit</f>
        <v>0</v>
      </c>
      <c r="G83" s="115">
        <v>0.0</v>
      </c>
      <c r="H83" s="13"/>
      <c r="I83" s="104"/>
      <c r="J83" s="13"/>
      <c r="K83" s="13"/>
      <c r="L83" s="13"/>
      <c r="M83" s="13"/>
      <c r="N83" s="13"/>
      <c r="O83" s="13"/>
      <c r="P83" s="13"/>
      <c r="Q83" s="13"/>
      <c r="R83" s="13"/>
      <c r="S83" s="13"/>
      <c r="T83" s="13"/>
      <c r="U83" s="13"/>
      <c r="V83" s="13"/>
      <c r="W83" s="13"/>
      <c r="X83" s="13"/>
      <c r="Y83" s="13"/>
      <c r="Z83" s="13"/>
    </row>
    <row r="84" ht="15.75" customHeight="1">
      <c r="A84" s="13"/>
      <c r="B84" s="112" t="s">
        <v>123</v>
      </c>
      <c r="C84" s="113">
        <f>'Assumptions (P1B)'!D134</f>
        <v>50000</v>
      </c>
      <c r="D84" s="114">
        <f>C84/unit</f>
        <v>295.8579882</v>
      </c>
      <c r="E84" s="115">
        <v>0.0</v>
      </c>
      <c r="F84" s="114">
        <f>E84/unit</f>
        <v>0</v>
      </c>
      <c r="G84" s="115">
        <v>0.0</v>
      </c>
      <c r="H84" s="13"/>
      <c r="I84" s="104"/>
      <c r="J84" s="13"/>
      <c r="K84" s="13"/>
      <c r="L84" s="13"/>
      <c r="M84" s="13"/>
      <c r="N84" s="13"/>
      <c r="O84" s="13"/>
      <c r="P84" s="13"/>
      <c r="Q84" s="13"/>
      <c r="R84" s="13"/>
      <c r="S84" s="13"/>
      <c r="T84" s="13"/>
      <c r="U84" s="13"/>
      <c r="V84" s="13"/>
      <c r="W84" s="13"/>
      <c r="X84" s="13"/>
      <c r="Y84" s="13"/>
      <c r="Z84" s="13"/>
    </row>
    <row r="85" ht="15.75" customHeight="1">
      <c r="A85" s="13"/>
      <c r="B85" s="112" t="s">
        <v>124</v>
      </c>
      <c r="C85" s="113">
        <f>'Assumptions (P1B)'!D129*'Loan Sizing (P1B)'!D75+'Loan Sizing (P1B)'!D97</f>
        <v>213820.0573</v>
      </c>
      <c r="D85" s="114"/>
      <c r="E85" s="115"/>
      <c r="F85" s="114"/>
      <c r="G85" s="115"/>
      <c r="H85" s="13"/>
      <c r="I85" s="104"/>
      <c r="J85" s="13"/>
      <c r="K85" s="13"/>
      <c r="L85" s="13"/>
      <c r="M85" s="13"/>
      <c r="N85" s="13"/>
      <c r="O85" s="13"/>
      <c r="P85" s="13"/>
      <c r="Q85" s="13"/>
      <c r="R85" s="13"/>
      <c r="S85" s="13"/>
      <c r="T85" s="13"/>
      <c r="U85" s="13"/>
      <c r="V85" s="13"/>
      <c r="W85" s="13"/>
      <c r="X85" s="13"/>
      <c r="Y85" s="13"/>
      <c r="Z85" s="13"/>
    </row>
    <row r="86" ht="15.75" customHeight="1">
      <c r="A86" s="13"/>
      <c r="B86" s="112" t="s">
        <v>125</v>
      </c>
      <c r="C86" s="113">
        <f>'Assumptions (P1B)'!D135</f>
        <v>32500</v>
      </c>
      <c r="D86" s="114">
        <f>C86/unit</f>
        <v>192.3076923</v>
      </c>
      <c r="E86" s="115">
        <v>0.0</v>
      </c>
      <c r="F86" s="114">
        <f>E86/unit</f>
        <v>0</v>
      </c>
      <c r="G86" s="115">
        <v>0.0</v>
      </c>
      <c r="H86" s="13"/>
      <c r="I86" s="104"/>
      <c r="J86" s="13"/>
      <c r="K86" s="13"/>
      <c r="L86" s="13"/>
      <c r="M86" s="13"/>
      <c r="N86" s="13"/>
      <c r="O86" s="13"/>
      <c r="P86" s="13"/>
      <c r="Q86" s="13"/>
      <c r="R86" s="13"/>
      <c r="S86" s="13"/>
      <c r="T86" s="13"/>
      <c r="U86" s="13"/>
      <c r="V86" s="13"/>
      <c r="W86" s="13"/>
      <c r="X86" s="13"/>
      <c r="Y86" s="13"/>
      <c r="Z86" s="13"/>
    </row>
    <row r="87" ht="15.75" customHeight="1">
      <c r="A87" s="13"/>
      <c r="B87" s="112" t="s">
        <v>126</v>
      </c>
      <c r="C87" s="113">
        <f>'Assumptions (P1B)'!D136</f>
        <v>10000</v>
      </c>
      <c r="D87" s="114">
        <f>C87/unit</f>
        <v>59.17159763</v>
      </c>
      <c r="E87" s="115">
        <v>0.0</v>
      </c>
      <c r="F87" s="114">
        <f>E87/unit</f>
        <v>0</v>
      </c>
      <c r="G87" s="115">
        <v>0.0</v>
      </c>
      <c r="H87" s="13"/>
      <c r="I87" s="104"/>
      <c r="J87" s="13"/>
      <c r="K87" s="13"/>
      <c r="L87" s="13"/>
      <c r="M87" s="13"/>
      <c r="N87" s="13"/>
      <c r="O87" s="13"/>
      <c r="P87" s="13"/>
      <c r="Q87" s="13"/>
      <c r="R87" s="13"/>
      <c r="S87" s="13"/>
      <c r="T87" s="13"/>
      <c r="U87" s="13"/>
      <c r="V87" s="13"/>
      <c r="W87" s="13"/>
      <c r="X87" s="13"/>
      <c r="Y87" s="13"/>
      <c r="Z87" s="13"/>
    </row>
    <row r="88" ht="15.75" customHeight="1">
      <c r="A88" s="13"/>
      <c r="B88" s="112" t="s">
        <v>127</v>
      </c>
      <c r="C88" s="113">
        <f>'Assumptions (P1B)'!D137</f>
        <v>20000</v>
      </c>
      <c r="D88" s="114">
        <f>C88/unit</f>
        <v>118.3431953</v>
      </c>
      <c r="E88" s="115">
        <v>0.0</v>
      </c>
      <c r="F88" s="114">
        <f>E88/unit</f>
        <v>0</v>
      </c>
      <c r="G88" s="115">
        <v>0.0</v>
      </c>
      <c r="H88" s="13"/>
      <c r="I88" s="104"/>
      <c r="J88" s="13"/>
      <c r="K88" s="13"/>
      <c r="L88" s="13"/>
      <c r="M88" s="13"/>
      <c r="N88" s="13"/>
      <c r="O88" s="13"/>
      <c r="P88" s="13"/>
      <c r="Q88" s="13"/>
      <c r="R88" s="13"/>
      <c r="S88" s="13"/>
      <c r="T88" s="13"/>
      <c r="U88" s="13"/>
      <c r="V88" s="13"/>
      <c r="W88" s="13"/>
      <c r="X88" s="13"/>
      <c r="Y88" s="13"/>
      <c r="Z88" s="13"/>
    </row>
    <row r="89" ht="15.75" customHeight="1">
      <c r="A89" s="13"/>
      <c r="B89" s="112" t="s">
        <v>128</v>
      </c>
      <c r="C89" s="113">
        <f>'Assumptions (P1B)'!D138*'Sources &amp; Uses (P1B)'!C105</f>
        <v>15431.875</v>
      </c>
      <c r="D89" s="114">
        <f>C89/unit</f>
        <v>91.31286982</v>
      </c>
      <c r="E89" s="115">
        <v>0.0</v>
      </c>
      <c r="F89" s="114">
        <f>E89/unit</f>
        <v>0</v>
      </c>
      <c r="G89" s="115">
        <v>0.0</v>
      </c>
      <c r="I89" s="104"/>
      <c r="J89" s="13"/>
      <c r="K89" s="13"/>
      <c r="L89" s="13"/>
      <c r="M89" s="13"/>
      <c r="N89" s="13"/>
      <c r="O89" s="13"/>
      <c r="P89" s="13"/>
      <c r="Q89" s="13"/>
      <c r="R89" s="13"/>
      <c r="S89" s="13"/>
      <c r="T89" s="13"/>
      <c r="U89" s="13"/>
      <c r="V89" s="13"/>
      <c r="W89" s="13"/>
      <c r="X89" s="13"/>
      <c r="Y89" s="13"/>
      <c r="Z89" s="13"/>
    </row>
    <row r="90" ht="15.75" customHeight="1">
      <c r="A90" s="13"/>
      <c r="B90" s="112" t="str">
        <f>'Assumptions (P1B)'!C139</f>
        <v>Permanent Loan Documentation Fees</v>
      </c>
      <c r="C90" s="113">
        <f>'Assumptions (P1B)'!D139</f>
        <v>20000</v>
      </c>
      <c r="D90" s="114">
        <f>C90/unit</f>
        <v>118.3431953</v>
      </c>
      <c r="E90" s="115">
        <v>0.0</v>
      </c>
      <c r="F90" s="114">
        <f>E90/unit</f>
        <v>0</v>
      </c>
      <c r="G90" s="115">
        <v>0.0</v>
      </c>
      <c r="H90" s="13"/>
      <c r="I90" s="104"/>
      <c r="J90" s="95"/>
      <c r="K90" s="13"/>
      <c r="L90" s="13"/>
      <c r="M90" s="13"/>
      <c r="N90" s="13"/>
      <c r="O90" s="13"/>
      <c r="P90" s="13"/>
      <c r="Q90" s="13"/>
      <c r="R90" s="13"/>
      <c r="S90" s="13"/>
      <c r="T90" s="13"/>
      <c r="U90" s="13"/>
      <c r="V90" s="13"/>
      <c r="W90" s="13"/>
      <c r="X90" s="13"/>
      <c r="Y90" s="13"/>
      <c r="Z90" s="13"/>
    </row>
    <row r="91" ht="15.75" customHeight="1">
      <c r="A91" s="13"/>
      <c r="B91" s="112" t="str">
        <f>'Assumptions (P1B)'!C140</f>
        <v>Permanent Loan Application Fee</v>
      </c>
      <c r="C91" s="113">
        <f>'Assumptions (P1B)'!D140</f>
        <v>500</v>
      </c>
      <c r="D91" s="114">
        <f>C91/unit</f>
        <v>2.958579882</v>
      </c>
      <c r="E91" s="115">
        <v>0.0</v>
      </c>
      <c r="F91" s="114">
        <f>E91/unit</f>
        <v>0</v>
      </c>
      <c r="G91" s="115">
        <v>0.0</v>
      </c>
      <c r="H91" s="13"/>
      <c r="I91" s="104"/>
      <c r="J91" s="95"/>
      <c r="K91" s="13"/>
      <c r="L91" s="13"/>
      <c r="M91" s="13"/>
      <c r="N91" s="13"/>
      <c r="O91" s="13"/>
      <c r="P91" s="13"/>
      <c r="Q91" s="13"/>
      <c r="R91" s="13"/>
      <c r="S91" s="13"/>
      <c r="T91" s="13"/>
      <c r="U91" s="13"/>
      <c r="V91" s="13"/>
      <c r="W91" s="13"/>
      <c r="X91" s="13"/>
      <c r="Y91" s="13"/>
      <c r="Z91" s="13"/>
    </row>
    <row r="92" ht="15.75" customHeight="1">
      <c r="A92" s="13"/>
      <c r="B92" s="112" t="str">
        <f>'Assumptions (P1B)'!C141</f>
        <v>8609 Issuance</v>
      </c>
      <c r="C92" s="113">
        <f>'Assumptions (P1B)'!D141</f>
        <v>600</v>
      </c>
      <c r="D92" s="114">
        <f>C92/unit</f>
        <v>3.550295858</v>
      </c>
      <c r="E92" s="126">
        <v>0.0</v>
      </c>
      <c r="F92" s="114">
        <f>E92/unit</f>
        <v>0</v>
      </c>
      <c r="G92" s="115">
        <v>0.0</v>
      </c>
      <c r="H92" s="13"/>
      <c r="I92" s="104"/>
      <c r="J92" s="95"/>
      <c r="K92" s="13"/>
      <c r="L92" s="13"/>
      <c r="M92" s="13"/>
      <c r="N92" s="13"/>
      <c r="O92" s="13"/>
      <c r="P92" s="13"/>
      <c r="Q92" s="13"/>
      <c r="R92" s="13"/>
      <c r="S92" s="13"/>
      <c r="T92" s="13"/>
      <c r="U92" s="13"/>
      <c r="V92" s="13"/>
      <c r="W92" s="13"/>
      <c r="X92" s="13"/>
      <c r="Y92" s="13"/>
      <c r="Z92" s="13"/>
    </row>
    <row r="93" ht="15.75" customHeight="1">
      <c r="A93" s="13"/>
      <c r="B93" s="117" t="s">
        <v>95</v>
      </c>
      <c r="C93" s="118">
        <f>SUM(C81:C92)</f>
        <v>1202101.932</v>
      </c>
      <c r="D93" s="118">
        <f>C93/unit</f>
        <v>7113.029185</v>
      </c>
      <c r="E93" s="118">
        <f>SUM(E81:E92)</f>
        <v>0</v>
      </c>
      <c r="F93" s="118">
        <f>E93/unit</f>
        <v>0</v>
      </c>
      <c r="G93" s="118">
        <f>SUM(G81:G92)</f>
        <v>0</v>
      </c>
      <c r="H93" s="13"/>
      <c r="I93" s="13"/>
      <c r="J93" s="13"/>
      <c r="K93" s="13"/>
      <c r="L93" s="13"/>
      <c r="M93" s="13"/>
      <c r="N93" s="13"/>
      <c r="O93" s="13"/>
      <c r="P93" s="13"/>
      <c r="Q93" s="13"/>
      <c r="R93" s="13"/>
      <c r="S93" s="13"/>
      <c r="T93" s="13"/>
      <c r="U93" s="13"/>
      <c r="V93" s="13"/>
      <c r="W93" s="13"/>
      <c r="X93" s="13"/>
      <c r="Y93" s="13"/>
      <c r="Z93" s="13"/>
    </row>
    <row r="94" ht="15.75" customHeight="1">
      <c r="A94" s="13"/>
      <c r="B94" s="120" t="s">
        <v>129</v>
      </c>
      <c r="C94" s="121"/>
      <c r="D94" s="137"/>
      <c r="E94" s="122"/>
      <c r="F94" s="137"/>
      <c r="G94" s="122"/>
      <c r="H94" s="13"/>
      <c r="I94" s="13"/>
      <c r="J94" s="13"/>
      <c r="K94" s="13"/>
      <c r="L94" s="13"/>
      <c r="M94" s="13"/>
      <c r="N94" s="13"/>
      <c r="O94" s="13"/>
      <c r="P94" s="13"/>
      <c r="Q94" s="13"/>
      <c r="R94" s="13"/>
      <c r="S94" s="13"/>
      <c r="T94" s="13"/>
      <c r="U94" s="13"/>
      <c r="V94" s="13"/>
      <c r="W94" s="13"/>
      <c r="X94" s="13"/>
      <c r="Y94" s="13"/>
      <c r="Z94" s="13"/>
    </row>
    <row r="95" ht="15.75" customHeight="1">
      <c r="A95" s="13"/>
      <c r="B95" s="112" t="s">
        <v>130</v>
      </c>
      <c r="C95" s="113">
        <f>'Assumptions (P1B)'!D144</f>
        <v>8750</v>
      </c>
      <c r="D95" s="114">
        <f>C95/unit</f>
        <v>51.77514793</v>
      </c>
      <c r="E95" s="115">
        <v>0.0</v>
      </c>
      <c r="F95" s="114">
        <f>E95/unit</f>
        <v>0</v>
      </c>
      <c r="G95" s="115">
        <f t="shared" ref="G95:G104" si="11">C95</f>
        <v>8750</v>
      </c>
      <c r="H95" s="13"/>
      <c r="I95" s="104"/>
      <c r="J95" s="13"/>
      <c r="K95" s="13"/>
      <c r="L95" s="13"/>
      <c r="M95" s="13"/>
      <c r="N95" s="13"/>
      <c r="O95" s="13"/>
      <c r="P95" s="13"/>
      <c r="Q95" s="13"/>
      <c r="R95" s="13"/>
      <c r="S95" s="13"/>
      <c r="T95" s="13"/>
      <c r="U95" s="13"/>
      <c r="V95" s="13"/>
      <c r="W95" s="13"/>
      <c r="X95" s="13"/>
      <c r="Y95" s="13"/>
      <c r="Z95" s="13"/>
    </row>
    <row r="96" ht="15.75" customHeight="1">
      <c r="A96" s="13"/>
      <c r="B96" s="112" t="s">
        <v>131</v>
      </c>
      <c r="C96" s="113">
        <f>'Assumptions (P1B)'!D145</f>
        <v>7250</v>
      </c>
      <c r="D96" s="114">
        <f>C96/unit</f>
        <v>42.89940828</v>
      </c>
      <c r="E96" s="115">
        <v>0.0</v>
      </c>
      <c r="F96" s="114">
        <f>E96/unit</f>
        <v>0</v>
      </c>
      <c r="G96" s="115">
        <f t="shared" si="11"/>
        <v>7250</v>
      </c>
      <c r="H96" s="13"/>
      <c r="I96" s="104"/>
      <c r="J96" s="13"/>
      <c r="K96" s="13"/>
      <c r="L96" s="13"/>
      <c r="M96" s="13"/>
      <c r="N96" s="13"/>
      <c r="O96" s="13"/>
      <c r="P96" s="13"/>
      <c r="Q96" s="13"/>
      <c r="R96" s="13"/>
      <c r="S96" s="13"/>
      <c r="T96" s="13"/>
      <c r="U96" s="13"/>
      <c r="V96" s="13"/>
      <c r="W96" s="13"/>
      <c r="X96" s="13"/>
      <c r="Y96" s="13"/>
      <c r="Z96" s="13"/>
    </row>
    <row r="97" ht="15.75" customHeight="1">
      <c r="A97" s="13"/>
      <c r="B97" s="112" t="s">
        <v>132</v>
      </c>
      <c r="C97" s="113">
        <f>'Assumptions (P1B)'!D146</f>
        <v>12500</v>
      </c>
      <c r="D97" s="114">
        <f>C97/unit</f>
        <v>73.96449704</v>
      </c>
      <c r="E97" s="115">
        <v>0.0</v>
      </c>
      <c r="F97" s="114">
        <f>E97/unit</f>
        <v>0</v>
      </c>
      <c r="G97" s="115">
        <f t="shared" si="11"/>
        <v>12500</v>
      </c>
      <c r="H97" s="13"/>
      <c r="I97" s="104"/>
      <c r="J97" s="13"/>
      <c r="K97" s="13"/>
      <c r="L97" s="13"/>
      <c r="M97" s="13"/>
      <c r="N97" s="13"/>
      <c r="O97" s="13"/>
      <c r="P97" s="13"/>
      <c r="Q97" s="13"/>
      <c r="R97" s="13"/>
      <c r="S97" s="13"/>
      <c r="T97" s="13"/>
      <c r="U97" s="13"/>
      <c r="V97" s="13"/>
      <c r="W97" s="13"/>
      <c r="X97" s="13"/>
      <c r="Y97" s="13"/>
      <c r="Z97" s="13"/>
    </row>
    <row r="98" ht="15.75" customHeight="1">
      <c r="A98" s="13"/>
      <c r="B98" s="112" t="s">
        <v>133</v>
      </c>
      <c r="C98" s="113">
        <f>'Assumptions (P1B)'!D147</f>
        <v>10700</v>
      </c>
      <c r="D98" s="114">
        <f>C98/unit</f>
        <v>63.31360947</v>
      </c>
      <c r="E98" s="115">
        <v>0.0</v>
      </c>
      <c r="F98" s="114">
        <f>E98/unit</f>
        <v>0</v>
      </c>
      <c r="G98" s="115">
        <f t="shared" si="11"/>
        <v>10700</v>
      </c>
      <c r="H98" s="13"/>
      <c r="I98" s="104"/>
      <c r="J98" s="13"/>
      <c r="K98" s="13"/>
      <c r="L98" s="13"/>
      <c r="M98" s="13"/>
      <c r="N98" s="13"/>
      <c r="O98" s="13"/>
      <c r="P98" s="13"/>
      <c r="Q98" s="13"/>
      <c r="R98" s="13"/>
      <c r="S98" s="13"/>
      <c r="T98" s="13"/>
      <c r="U98" s="13"/>
      <c r="V98" s="13"/>
      <c r="W98" s="13"/>
      <c r="X98" s="13"/>
      <c r="Y98" s="13"/>
      <c r="Z98" s="13"/>
    </row>
    <row r="99" ht="15.75" customHeight="1">
      <c r="A99" s="13"/>
      <c r="B99" s="112" t="s">
        <v>134</v>
      </c>
      <c r="C99" s="113">
        <f>'Assumptions (P1B)'!D148*unit</f>
        <v>84500</v>
      </c>
      <c r="D99" s="114">
        <f>C99/unit</f>
        <v>500</v>
      </c>
      <c r="E99" s="115">
        <v>0.0</v>
      </c>
      <c r="F99" s="114">
        <f>E99/unit</f>
        <v>0</v>
      </c>
      <c r="G99" s="115">
        <f t="shared" si="11"/>
        <v>84500</v>
      </c>
      <c r="H99" s="13"/>
      <c r="I99" s="104"/>
      <c r="J99" s="13"/>
      <c r="K99" s="13"/>
      <c r="L99" s="13"/>
      <c r="M99" s="13"/>
      <c r="N99" s="13"/>
      <c r="O99" s="13"/>
      <c r="P99" s="13"/>
      <c r="Q99" s="13"/>
      <c r="R99" s="13"/>
      <c r="S99" s="13"/>
      <c r="T99" s="13"/>
      <c r="U99" s="13"/>
      <c r="V99" s="13"/>
      <c r="W99" s="13"/>
      <c r="X99" s="13"/>
      <c r="Y99" s="13"/>
      <c r="Z99" s="13"/>
    </row>
    <row r="100" ht="15.75" customHeight="1">
      <c r="A100" s="13"/>
      <c r="B100" s="112" t="s">
        <v>135</v>
      </c>
      <c r="C100" s="113">
        <f>'Assumptions (P1B)'!D149</f>
        <v>97500</v>
      </c>
      <c r="D100" s="114">
        <f>C100/unit</f>
        <v>576.9230769</v>
      </c>
      <c r="E100" s="115">
        <v>0.0</v>
      </c>
      <c r="F100" s="114">
        <f>E100/unit</f>
        <v>0</v>
      </c>
      <c r="G100" s="115">
        <f t="shared" si="11"/>
        <v>97500</v>
      </c>
      <c r="H100" s="13"/>
      <c r="I100" s="104"/>
      <c r="J100" s="13"/>
      <c r="K100" s="13"/>
      <c r="L100" s="13"/>
      <c r="M100" s="13"/>
      <c r="N100" s="13"/>
      <c r="O100" s="13"/>
      <c r="P100" s="13"/>
      <c r="Q100" s="13"/>
      <c r="R100" s="13"/>
      <c r="S100" s="13"/>
      <c r="T100" s="13"/>
      <c r="U100" s="13"/>
      <c r="V100" s="13"/>
      <c r="W100" s="13"/>
      <c r="X100" s="13"/>
      <c r="Y100" s="13"/>
      <c r="Z100" s="13"/>
    </row>
    <row r="101" ht="15.75" customHeight="1">
      <c r="A101" s="13"/>
      <c r="B101" s="112" t="s">
        <v>136</v>
      </c>
      <c r="C101" s="113">
        <f>'Assumptions (P1B)'!D150</f>
        <v>37437.5</v>
      </c>
      <c r="D101" s="114">
        <f>C101/unit</f>
        <v>221.5236686</v>
      </c>
      <c r="E101" s="115">
        <v>0.0</v>
      </c>
      <c r="F101" s="114">
        <f>E101/unit</f>
        <v>0</v>
      </c>
      <c r="G101" s="115">
        <f t="shared" si="11"/>
        <v>37437.5</v>
      </c>
      <c r="H101" s="13"/>
      <c r="I101" s="104"/>
      <c r="J101" s="13"/>
      <c r="K101" s="13"/>
      <c r="L101" s="13"/>
      <c r="M101" s="13"/>
      <c r="N101" s="13"/>
      <c r="O101" s="13"/>
      <c r="P101" s="13"/>
      <c r="Q101" s="13"/>
      <c r="R101" s="13"/>
      <c r="S101" s="13"/>
      <c r="T101" s="13"/>
      <c r="U101" s="13"/>
      <c r="V101" s="13"/>
      <c r="W101" s="13"/>
      <c r="X101" s="13"/>
      <c r="Y101" s="13"/>
      <c r="Z101" s="13"/>
    </row>
    <row r="102" ht="15.75" customHeight="1">
      <c r="A102" s="13"/>
      <c r="B102" s="112" t="str">
        <f>'Assumptions (P1B)'!C151</f>
        <v>Other: Sustainability Consultant Fee</v>
      </c>
      <c r="C102" s="113">
        <f>'Assumptions (P1B)'!D151</f>
        <v>20000</v>
      </c>
      <c r="D102" s="114">
        <f>C102/unit</f>
        <v>118.3431953</v>
      </c>
      <c r="E102" s="115">
        <v>0.0</v>
      </c>
      <c r="F102" s="114">
        <f>E102/unit</f>
        <v>0</v>
      </c>
      <c r="G102" s="115">
        <f t="shared" si="11"/>
        <v>20000</v>
      </c>
      <c r="H102" s="13"/>
      <c r="I102" s="104"/>
      <c r="J102" s="95"/>
      <c r="K102" s="13"/>
      <c r="L102" s="13"/>
      <c r="M102" s="13"/>
      <c r="N102" s="13"/>
      <c r="O102" s="13"/>
      <c r="P102" s="13"/>
      <c r="Q102" s="13"/>
      <c r="R102" s="13"/>
      <c r="S102" s="13"/>
      <c r="T102" s="13"/>
      <c r="U102" s="13"/>
      <c r="V102" s="13"/>
      <c r="W102" s="13"/>
      <c r="X102" s="13"/>
      <c r="Y102" s="13"/>
      <c r="Z102" s="13"/>
    </row>
    <row r="103" ht="15.75" customHeight="1">
      <c r="A103" s="13"/>
      <c r="B103" s="112" t="str">
        <f>'Assumptions (P1B)'!C152</f>
        <v>Other: Green Certification (LEED)</v>
      </c>
      <c r="C103" s="113">
        <f>'Assumptions (P1B)'!D152</f>
        <v>15000</v>
      </c>
      <c r="D103" s="114">
        <f>C103/unit</f>
        <v>88.75739645</v>
      </c>
      <c r="E103" s="115">
        <v>0.0</v>
      </c>
      <c r="F103" s="114">
        <f>E103/unit</f>
        <v>0</v>
      </c>
      <c r="G103" s="115">
        <f t="shared" si="11"/>
        <v>15000</v>
      </c>
      <c r="H103" s="13"/>
      <c r="I103" s="104"/>
      <c r="J103" s="95"/>
      <c r="K103" s="13"/>
      <c r="L103" s="13"/>
      <c r="M103" s="13"/>
      <c r="N103" s="13"/>
      <c r="O103" s="13"/>
      <c r="P103" s="13"/>
      <c r="Q103" s="13"/>
      <c r="R103" s="13"/>
      <c r="S103" s="13"/>
      <c r="T103" s="13"/>
      <c r="U103" s="13"/>
      <c r="V103" s="13"/>
      <c r="W103" s="13"/>
      <c r="X103" s="13"/>
      <c r="Y103" s="13"/>
      <c r="Z103" s="13"/>
    </row>
    <row r="104" ht="15.75" customHeight="1">
      <c r="A104" s="13"/>
      <c r="B104" s="112" t="str">
        <f>'Assumptions (P1B)'!C153</f>
        <v>Other: Accessibility Inspections and Plan Review</v>
      </c>
      <c r="C104" s="113">
        <f>'Assumptions (P1B)'!D153</f>
        <v>15000</v>
      </c>
      <c r="D104" s="114">
        <f>C104/unit</f>
        <v>88.75739645</v>
      </c>
      <c r="E104" s="126">
        <v>0.0</v>
      </c>
      <c r="F104" s="114">
        <f>E104/unit</f>
        <v>0</v>
      </c>
      <c r="G104" s="115">
        <f t="shared" si="11"/>
        <v>15000</v>
      </c>
      <c r="H104" s="13"/>
      <c r="I104" s="104"/>
      <c r="J104" s="95"/>
      <c r="K104" s="13"/>
      <c r="L104" s="13"/>
      <c r="M104" s="13"/>
      <c r="N104" s="13"/>
      <c r="O104" s="13"/>
      <c r="P104" s="13"/>
      <c r="Q104" s="13"/>
      <c r="R104" s="13"/>
      <c r="S104" s="13"/>
      <c r="T104" s="13"/>
      <c r="U104" s="13"/>
      <c r="V104" s="13"/>
      <c r="W104" s="13"/>
      <c r="X104" s="13"/>
      <c r="Y104" s="13"/>
      <c r="Z104" s="13"/>
    </row>
    <row r="105" ht="15.75" customHeight="1">
      <c r="A105" s="13"/>
      <c r="B105" s="117" t="s">
        <v>95</v>
      </c>
      <c r="C105" s="118">
        <f>SUM(C95:C104)</f>
        <v>308637.5</v>
      </c>
      <c r="D105" s="118">
        <f>C105/unit</f>
        <v>1826.257396</v>
      </c>
      <c r="E105" s="118">
        <f>SUM(E95:E104)</f>
        <v>0</v>
      </c>
      <c r="F105" s="118">
        <f>E105/unit</f>
        <v>0</v>
      </c>
      <c r="G105" s="118">
        <f>SUM(G95:G104)</f>
        <v>308637.5</v>
      </c>
      <c r="H105" s="13"/>
      <c r="I105" s="13"/>
      <c r="J105" s="13"/>
      <c r="K105" s="13"/>
      <c r="L105" s="13"/>
      <c r="M105" s="13"/>
      <c r="N105" s="13"/>
      <c r="O105" s="13"/>
      <c r="P105" s="13"/>
      <c r="Q105" s="13"/>
      <c r="R105" s="13"/>
      <c r="S105" s="13"/>
      <c r="T105" s="13"/>
      <c r="U105" s="13"/>
      <c r="V105" s="13"/>
      <c r="W105" s="13"/>
      <c r="X105" s="13"/>
      <c r="Y105" s="13"/>
      <c r="Z105" s="13"/>
    </row>
    <row r="106" ht="15.75" customHeight="1">
      <c r="A106" s="13"/>
      <c r="B106" s="139"/>
      <c r="C106" s="140"/>
      <c r="D106" s="140"/>
      <c r="E106" s="140"/>
      <c r="F106" s="140"/>
      <c r="G106" s="140"/>
      <c r="H106" s="13"/>
      <c r="I106" s="13"/>
      <c r="J106" s="13"/>
      <c r="K106" s="13"/>
      <c r="L106" s="13"/>
      <c r="M106" s="13"/>
      <c r="N106" s="13"/>
      <c r="O106" s="13"/>
      <c r="P106" s="13"/>
      <c r="Q106" s="13"/>
      <c r="R106" s="13"/>
      <c r="S106" s="13"/>
      <c r="T106" s="13"/>
      <c r="U106" s="13"/>
      <c r="V106" s="13"/>
      <c r="W106" s="13"/>
      <c r="X106" s="13"/>
      <c r="Y106" s="13"/>
      <c r="Z106" s="13"/>
    </row>
    <row r="107" ht="30.0" customHeight="1">
      <c r="A107" s="13"/>
      <c r="B107" s="141" t="s">
        <v>137</v>
      </c>
      <c r="C107" s="118">
        <f>C54+C64+C79+C93+C105</f>
        <v>37289719.48</v>
      </c>
      <c r="D107" s="118">
        <f>C107/unit</f>
        <v>220649.2277</v>
      </c>
      <c r="E107" s="118">
        <f>E54+E64+E79+E93+E105</f>
        <v>0</v>
      </c>
      <c r="F107" s="118">
        <f>E107/unit</f>
        <v>0</v>
      </c>
      <c r="G107" s="118">
        <f>G54+G64+G79+G93+G105</f>
        <v>34231887.98</v>
      </c>
      <c r="H107" s="13"/>
      <c r="I107" s="13"/>
      <c r="J107" s="13"/>
      <c r="K107" s="13"/>
      <c r="L107" s="13"/>
      <c r="M107" s="13"/>
      <c r="N107" s="13"/>
      <c r="O107" s="13"/>
      <c r="P107" s="13"/>
      <c r="Q107" s="13"/>
      <c r="R107" s="13"/>
      <c r="S107" s="13"/>
      <c r="T107" s="13"/>
      <c r="U107" s="13"/>
      <c r="V107" s="13"/>
      <c r="W107" s="13"/>
      <c r="X107" s="13"/>
      <c r="Y107" s="13"/>
      <c r="Z107" s="13"/>
    </row>
    <row r="108" ht="15.75" customHeight="1">
      <c r="A108" s="13"/>
      <c r="B108" s="139"/>
      <c r="C108" s="140"/>
      <c r="D108" s="140"/>
      <c r="E108" s="140"/>
      <c r="F108" s="140"/>
      <c r="G108" s="140"/>
      <c r="H108" s="13"/>
      <c r="I108" s="13"/>
      <c r="J108" s="13"/>
      <c r="K108" s="13"/>
      <c r="L108" s="13"/>
      <c r="M108" s="13"/>
      <c r="N108" s="13"/>
      <c r="O108" s="13"/>
      <c r="P108" s="13"/>
      <c r="Q108" s="13"/>
      <c r="R108" s="13"/>
      <c r="S108" s="13"/>
      <c r="T108" s="13"/>
      <c r="U108" s="13"/>
      <c r="V108" s="13"/>
      <c r="W108" s="13"/>
      <c r="X108" s="13"/>
      <c r="Y108" s="13"/>
      <c r="Z108" s="13"/>
    </row>
    <row r="109" ht="15.75" customHeight="1">
      <c r="A109" s="13"/>
      <c r="B109" s="120" t="s">
        <v>138</v>
      </c>
      <c r="C109" s="121"/>
      <c r="D109" s="137"/>
      <c r="E109" s="122"/>
      <c r="F109" s="137"/>
      <c r="G109" s="122"/>
      <c r="H109" s="13"/>
      <c r="I109" s="13"/>
      <c r="J109" s="13"/>
      <c r="K109" s="13"/>
      <c r="L109" s="13"/>
      <c r="M109" s="13"/>
      <c r="N109" s="13"/>
      <c r="O109" s="13"/>
      <c r="P109" s="13"/>
      <c r="Q109" s="13"/>
      <c r="R109" s="13"/>
      <c r="S109" s="13"/>
      <c r="T109" s="13"/>
      <c r="U109" s="13"/>
      <c r="V109" s="13"/>
      <c r="W109" s="13"/>
      <c r="X109" s="13"/>
      <c r="Y109" s="13"/>
      <c r="Z109" s="13"/>
    </row>
    <row r="110" ht="15.75" customHeight="1">
      <c r="A110" s="13"/>
      <c r="B110" s="112" t="s">
        <v>54</v>
      </c>
      <c r="C110" s="125">
        <f>unit*'Assumptions (P1B)'!D156</f>
        <v>6760000</v>
      </c>
      <c r="D110" s="114">
        <f>C110/unit</f>
        <v>40000</v>
      </c>
      <c r="E110" s="126">
        <v>0.0</v>
      </c>
      <c r="F110" s="114">
        <f>E110/unit</f>
        <v>0</v>
      </c>
      <c r="G110" s="115">
        <f t="shared" ref="G110:G111" si="12">C110</f>
        <v>6760000</v>
      </c>
      <c r="H110" s="13"/>
      <c r="I110" s="104"/>
      <c r="J110" s="13"/>
      <c r="K110" s="13"/>
      <c r="L110" s="13"/>
      <c r="M110" s="13"/>
      <c r="N110" s="13"/>
      <c r="O110" s="13"/>
      <c r="P110" s="13"/>
      <c r="Q110" s="13"/>
      <c r="R110" s="13"/>
      <c r="S110" s="13"/>
      <c r="T110" s="13"/>
      <c r="U110" s="13"/>
      <c r="V110" s="13"/>
      <c r="W110" s="13"/>
      <c r="X110" s="13"/>
      <c r="Y110" s="13"/>
      <c r="Z110" s="13"/>
    </row>
    <row r="111" ht="15.75" customHeight="1">
      <c r="A111" s="13"/>
      <c r="B111" s="116" t="s">
        <v>102</v>
      </c>
      <c r="C111" s="125">
        <v>0.0</v>
      </c>
      <c r="D111" s="114">
        <f>C111/unit</f>
        <v>0</v>
      </c>
      <c r="E111" s="126">
        <v>0.0</v>
      </c>
      <c r="F111" s="114">
        <f>E111/unit</f>
        <v>0</v>
      </c>
      <c r="G111" s="115">
        <f t="shared" si="12"/>
        <v>0</v>
      </c>
      <c r="H111" s="13"/>
      <c r="I111" s="104"/>
      <c r="J111" s="95"/>
      <c r="K111" s="13"/>
      <c r="L111" s="13"/>
      <c r="M111" s="13"/>
      <c r="N111" s="13"/>
      <c r="O111" s="13"/>
      <c r="P111" s="13"/>
      <c r="Q111" s="13"/>
      <c r="R111" s="13"/>
      <c r="S111" s="13"/>
      <c r="T111" s="13"/>
      <c r="U111" s="13"/>
      <c r="V111" s="13"/>
      <c r="W111" s="13"/>
      <c r="X111" s="13"/>
      <c r="Y111" s="13"/>
      <c r="Z111" s="13"/>
    </row>
    <row r="112" ht="15.75" customHeight="1">
      <c r="A112" s="13"/>
      <c r="B112" s="117" t="s">
        <v>95</v>
      </c>
      <c r="C112" s="118">
        <f>SUM(C110:C111)</f>
        <v>6760000</v>
      </c>
      <c r="D112" s="118">
        <f>C112/unit</f>
        <v>40000</v>
      </c>
      <c r="E112" s="118">
        <f>SUM(E110:E111)</f>
        <v>0</v>
      </c>
      <c r="F112" s="118">
        <f>E112/unit</f>
        <v>0</v>
      </c>
      <c r="G112" s="118">
        <f>SUM(G110:G111)</f>
        <v>6760000</v>
      </c>
      <c r="H112" s="13"/>
      <c r="I112" s="13"/>
      <c r="J112" s="13"/>
      <c r="K112" s="13"/>
      <c r="L112" s="13"/>
      <c r="M112" s="13"/>
      <c r="N112" s="13"/>
      <c r="O112" s="13"/>
      <c r="P112" s="13"/>
      <c r="Q112" s="13"/>
      <c r="R112" s="13"/>
      <c r="S112" s="13"/>
      <c r="T112" s="13"/>
      <c r="U112" s="13"/>
      <c r="V112" s="13"/>
      <c r="W112" s="13"/>
      <c r="X112" s="13"/>
      <c r="Y112" s="13"/>
      <c r="Z112" s="13"/>
    </row>
    <row r="113" ht="15.75" customHeight="1">
      <c r="A113" s="13"/>
      <c r="B113" s="142" t="s">
        <v>139</v>
      </c>
      <c r="C113" s="121"/>
      <c r="D113" s="137"/>
      <c r="E113" s="122"/>
      <c r="F113" s="137"/>
      <c r="G113" s="122"/>
      <c r="H113" s="13"/>
      <c r="I113" s="13"/>
      <c r="J113" s="13"/>
      <c r="K113" s="13"/>
      <c r="L113" s="13"/>
      <c r="M113" s="13"/>
      <c r="N113" s="13"/>
      <c r="O113" s="13"/>
      <c r="P113" s="13"/>
      <c r="Q113" s="13"/>
      <c r="R113" s="13"/>
      <c r="S113" s="13"/>
      <c r="T113" s="13"/>
      <c r="U113" s="13"/>
      <c r="V113" s="13"/>
      <c r="W113" s="13"/>
      <c r="X113" s="13"/>
      <c r="Y113" s="13"/>
      <c r="Z113" s="13"/>
    </row>
    <row r="114" ht="15.75" customHeight="1">
      <c r="A114" s="13"/>
      <c r="B114" s="112" t="s">
        <v>140</v>
      </c>
      <c r="C114" s="113">
        <f>('Assumptions (P1B)'!D160/12)*'Income &amp; Expenses (P1B)'!$C$5</f>
        <v>550926.4725</v>
      </c>
      <c r="D114" s="114">
        <f>C114/unit</f>
        <v>3259.919956</v>
      </c>
      <c r="E114" s="115">
        <v>0.0</v>
      </c>
      <c r="F114" s="114">
        <f>E114/unit</f>
        <v>0</v>
      </c>
      <c r="G114" s="115">
        <v>0.0</v>
      </c>
      <c r="H114" s="13"/>
      <c r="I114" s="143"/>
      <c r="J114" s="75"/>
      <c r="K114" s="13"/>
      <c r="L114" s="13"/>
      <c r="M114" s="13"/>
      <c r="N114" s="13"/>
      <c r="O114" s="13"/>
      <c r="P114" s="13"/>
      <c r="Q114" s="13"/>
      <c r="R114" s="13"/>
      <c r="S114" s="13"/>
      <c r="T114" s="13"/>
      <c r="U114" s="13"/>
      <c r="V114" s="13"/>
      <c r="W114" s="13"/>
      <c r="X114" s="13"/>
      <c r="Y114" s="13"/>
      <c r="Z114" s="13"/>
    </row>
    <row r="115" ht="15.75" customHeight="1">
      <c r="A115" s="13"/>
      <c r="B115" s="112" t="s">
        <v>141</v>
      </c>
      <c r="C115" s="113">
        <f>unit*'Assumptions (P1B)'!D161</f>
        <v>42250</v>
      </c>
      <c r="D115" s="114">
        <f>C115/unit</f>
        <v>250</v>
      </c>
      <c r="E115" s="115">
        <v>0.0</v>
      </c>
      <c r="F115" s="114">
        <f>E115/unit</f>
        <v>0</v>
      </c>
      <c r="G115" s="115">
        <v>0.0</v>
      </c>
      <c r="H115" s="13"/>
      <c r="I115" s="104"/>
      <c r="J115" s="13"/>
      <c r="K115" s="13"/>
      <c r="L115" s="13"/>
      <c r="M115" s="13"/>
      <c r="N115" s="13"/>
      <c r="O115" s="13"/>
      <c r="P115" s="13"/>
      <c r="Q115" s="13"/>
      <c r="R115" s="13"/>
      <c r="S115" s="13"/>
      <c r="T115" s="13"/>
      <c r="U115" s="13"/>
      <c r="V115" s="13"/>
      <c r="W115" s="13"/>
      <c r="X115" s="13"/>
      <c r="Y115" s="13"/>
      <c r="Z115" s="13"/>
    </row>
    <row r="116" ht="15.75" customHeight="1">
      <c r="A116" s="13"/>
      <c r="B116" s="112" t="s">
        <v>142</v>
      </c>
      <c r="C116" s="113">
        <f>('Assumptions (P1B)'!D162/12)*'Income &amp; Expenses (P1B)'!$C$5</f>
        <v>275463.2362</v>
      </c>
      <c r="D116" s="114">
        <f>C116/unit</f>
        <v>1629.959978</v>
      </c>
      <c r="E116" s="115">
        <v>0.0</v>
      </c>
      <c r="F116" s="114">
        <f>E116/unit</f>
        <v>0</v>
      </c>
      <c r="G116" s="115">
        <v>0.0</v>
      </c>
      <c r="H116" s="13"/>
      <c r="I116" s="104"/>
      <c r="J116" s="13"/>
      <c r="K116" s="13"/>
      <c r="L116" s="13"/>
      <c r="M116" s="13"/>
      <c r="N116" s="13"/>
      <c r="O116" s="13"/>
      <c r="P116" s="13"/>
      <c r="Q116" s="13"/>
      <c r="R116" s="13"/>
      <c r="S116" s="13"/>
      <c r="T116" s="13"/>
      <c r="U116" s="13"/>
      <c r="V116" s="13"/>
      <c r="W116" s="13"/>
      <c r="X116" s="13"/>
      <c r="Y116" s="13"/>
      <c r="Z116" s="13"/>
    </row>
    <row r="117" ht="15.75" customHeight="1">
      <c r="A117" s="13"/>
      <c r="B117" s="112" t="s">
        <v>143</v>
      </c>
      <c r="C117" s="113">
        <f>'Assumptions (P1B)'!D163/12*'Income &amp; Expenses (P1B)'!C114</f>
        <v>8321.572581</v>
      </c>
      <c r="D117" s="114">
        <f>C117/unit</f>
        <v>49.24007444</v>
      </c>
      <c r="E117" s="115">
        <v>0.0</v>
      </c>
      <c r="F117" s="114">
        <f>E117/unit</f>
        <v>0</v>
      </c>
      <c r="G117" s="115">
        <v>0.0</v>
      </c>
      <c r="H117" s="13"/>
      <c r="I117" s="104"/>
      <c r="J117" s="13"/>
      <c r="K117" s="13"/>
      <c r="L117" s="13"/>
      <c r="M117" s="13"/>
      <c r="N117" s="13"/>
      <c r="O117" s="13"/>
      <c r="P117" s="13"/>
      <c r="Q117" s="13"/>
      <c r="R117" s="13"/>
      <c r="S117" s="13"/>
      <c r="T117" s="13"/>
      <c r="U117" s="13"/>
      <c r="V117" s="13"/>
      <c r="W117" s="13"/>
      <c r="X117" s="13"/>
      <c r="Y117" s="13"/>
      <c r="Z117" s="13"/>
    </row>
    <row r="118" ht="15.75" customHeight="1">
      <c r="A118" s="13"/>
      <c r="B118" s="112" t="s">
        <v>144</v>
      </c>
      <c r="C118" s="113">
        <f>'Assumptions (P1B)'!D164/12*'Income &amp; Expenses (P1B)'!C109</f>
        <v>81085.92358</v>
      </c>
      <c r="D118" s="114">
        <f>C118/unit</f>
        <v>479.7983644</v>
      </c>
      <c r="E118" s="115">
        <v>0.0</v>
      </c>
      <c r="F118" s="114">
        <f>E118/unit</f>
        <v>0</v>
      </c>
      <c r="G118" s="115">
        <v>0.0</v>
      </c>
      <c r="H118" s="13"/>
      <c r="I118" s="104"/>
      <c r="J118" s="13"/>
      <c r="K118" s="13"/>
      <c r="L118" s="13"/>
      <c r="M118" s="13"/>
      <c r="N118" s="13"/>
      <c r="O118" s="13"/>
      <c r="P118" s="13"/>
      <c r="Q118" s="13"/>
      <c r="R118" s="13"/>
      <c r="S118" s="13"/>
      <c r="T118" s="13"/>
      <c r="U118" s="13"/>
      <c r="V118" s="13"/>
      <c r="W118" s="13"/>
      <c r="X118" s="13"/>
      <c r="Y118" s="13"/>
      <c r="Z118" s="13"/>
    </row>
    <row r="119" ht="15.75" customHeight="1">
      <c r="A119" s="13"/>
      <c r="B119" s="112" t="s">
        <v>102</v>
      </c>
      <c r="C119" s="113">
        <v>0.0</v>
      </c>
      <c r="D119" s="114">
        <f>C119/unit</f>
        <v>0</v>
      </c>
      <c r="E119" s="115">
        <v>0.0</v>
      </c>
      <c r="F119" s="114">
        <f>E119/unit</f>
        <v>0</v>
      </c>
      <c r="G119" s="115">
        <v>0.0</v>
      </c>
      <c r="H119" s="13"/>
      <c r="I119" s="104"/>
      <c r="J119" s="13"/>
      <c r="K119" s="13"/>
      <c r="L119" s="13"/>
      <c r="M119" s="13"/>
      <c r="N119" s="13"/>
      <c r="O119" s="13"/>
      <c r="P119" s="13"/>
      <c r="Q119" s="13"/>
      <c r="R119" s="13"/>
      <c r="S119" s="13"/>
      <c r="T119" s="13"/>
      <c r="U119" s="13"/>
      <c r="V119" s="13"/>
      <c r="W119" s="13"/>
      <c r="X119" s="13"/>
      <c r="Y119" s="13"/>
      <c r="Z119" s="13"/>
    </row>
    <row r="120" ht="15.75" customHeight="1">
      <c r="A120" s="13"/>
      <c r="B120" s="112" t="s">
        <v>102</v>
      </c>
      <c r="C120" s="113">
        <f>'Assumptions (P1B)'!D166</f>
        <v>0</v>
      </c>
      <c r="D120" s="114">
        <f>C120/unit</f>
        <v>0</v>
      </c>
      <c r="E120" s="115">
        <v>0.0</v>
      </c>
      <c r="F120" s="114">
        <f>E120/unit</f>
        <v>0</v>
      </c>
      <c r="G120" s="115">
        <v>0.0</v>
      </c>
      <c r="H120" s="13"/>
      <c r="I120" s="104"/>
      <c r="J120" s="95"/>
      <c r="K120" s="13"/>
      <c r="L120" s="13"/>
      <c r="M120" s="13"/>
      <c r="N120" s="13"/>
      <c r="O120" s="13"/>
      <c r="P120" s="13"/>
      <c r="Q120" s="13"/>
      <c r="R120" s="13"/>
      <c r="S120" s="13"/>
      <c r="T120" s="13"/>
      <c r="U120" s="13"/>
      <c r="V120" s="13"/>
      <c r="W120" s="13"/>
      <c r="X120" s="13"/>
      <c r="Y120" s="13"/>
      <c r="Z120" s="13"/>
    </row>
    <row r="121" ht="15.75" customHeight="1">
      <c r="A121" s="13"/>
      <c r="B121" s="112" t="s">
        <v>102</v>
      </c>
      <c r="C121" s="113">
        <f>'Assumptions (P1B)'!D167</f>
        <v>0</v>
      </c>
      <c r="D121" s="114">
        <f>C121/unit</f>
        <v>0</v>
      </c>
      <c r="E121" s="115">
        <v>0.0</v>
      </c>
      <c r="F121" s="114">
        <f>E121/unit</f>
        <v>0</v>
      </c>
      <c r="G121" s="115">
        <v>0.0</v>
      </c>
      <c r="H121" s="13"/>
      <c r="I121" s="104"/>
      <c r="J121" s="95"/>
      <c r="K121" s="13"/>
      <c r="L121" s="13"/>
      <c r="M121" s="13"/>
      <c r="N121" s="13"/>
      <c r="O121" s="13"/>
      <c r="P121" s="13"/>
      <c r="Q121" s="13"/>
      <c r="R121" s="13"/>
      <c r="S121" s="13"/>
      <c r="T121" s="13"/>
      <c r="U121" s="13"/>
      <c r="V121" s="13"/>
      <c r="W121" s="13"/>
      <c r="X121" s="13"/>
      <c r="Y121" s="13"/>
      <c r="Z121" s="13"/>
    </row>
    <row r="122" ht="15.75" customHeight="1">
      <c r="A122" s="13"/>
      <c r="B122" s="116" t="s">
        <v>102</v>
      </c>
      <c r="C122" s="113">
        <f>'Assumptions (P1B)'!D168</f>
        <v>0</v>
      </c>
      <c r="D122" s="114">
        <f>C122/unit</f>
        <v>0</v>
      </c>
      <c r="E122" s="126">
        <v>0.0</v>
      </c>
      <c r="F122" s="114">
        <f>E122/unit</f>
        <v>0</v>
      </c>
      <c r="G122" s="115">
        <v>0.0</v>
      </c>
      <c r="H122" s="13"/>
      <c r="I122" s="104"/>
      <c r="J122" s="95"/>
      <c r="K122" s="13"/>
      <c r="L122" s="13"/>
      <c r="M122" s="13"/>
      <c r="N122" s="13"/>
      <c r="O122" s="13"/>
      <c r="P122" s="13"/>
      <c r="Q122" s="13"/>
      <c r="R122" s="13"/>
      <c r="S122" s="13"/>
      <c r="T122" s="13"/>
      <c r="U122" s="13"/>
      <c r="V122" s="13"/>
      <c r="W122" s="13"/>
      <c r="X122" s="13"/>
      <c r="Y122" s="13"/>
      <c r="Z122" s="13"/>
    </row>
    <row r="123" ht="15.75" customHeight="1">
      <c r="A123" s="13"/>
      <c r="B123" s="117" t="s">
        <v>95</v>
      </c>
      <c r="C123" s="118">
        <f>SUM(C114:C122)</f>
        <v>958047.2049</v>
      </c>
      <c r="D123" s="118">
        <f>C123/unit</f>
        <v>5668.918372</v>
      </c>
      <c r="E123" s="118">
        <f>SUM(E114:E122)</f>
        <v>0</v>
      </c>
      <c r="F123" s="118">
        <f>E123/unit</f>
        <v>0</v>
      </c>
      <c r="G123" s="118">
        <f>SUM(G114:G122)</f>
        <v>0</v>
      </c>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127" t="s">
        <v>145</v>
      </c>
      <c r="C124" s="144">
        <f>C64+C79+C93+C105+C112+C123</f>
        <v>12308249</v>
      </c>
      <c r="D124" s="144">
        <f>C124/unit</f>
        <v>72829.87574</v>
      </c>
      <c r="E124" s="144">
        <f>E64+E79+E93+E105+E112+E123</f>
        <v>0</v>
      </c>
      <c r="F124" s="144">
        <f>E124/unit</f>
        <v>0</v>
      </c>
      <c r="G124" s="144">
        <f>G64+G79+G93+G105+G112+G123</f>
        <v>10148099.86</v>
      </c>
      <c r="H124" s="13"/>
      <c r="I124" s="13"/>
      <c r="J124" s="13"/>
      <c r="K124" s="13"/>
      <c r="L124" s="13"/>
      <c r="M124" s="13"/>
      <c r="N124" s="13"/>
      <c r="O124" s="13"/>
      <c r="P124" s="13"/>
      <c r="Q124" s="13"/>
      <c r="R124" s="13"/>
      <c r="S124" s="13"/>
      <c r="T124" s="13"/>
      <c r="U124" s="13"/>
      <c r="V124" s="13"/>
      <c r="W124" s="13"/>
      <c r="X124" s="13"/>
      <c r="Y124" s="13"/>
      <c r="Z124" s="13"/>
    </row>
    <row r="125" ht="15.75" customHeight="1">
      <c r="A125" s="13"/>
      <c r="B125" s="145"/>
      <c r="C125" s="146"/>
      <c r="D125" s="146"/>
      <c r="E125" s="146"/>
      <c r="F125" s="146"/>
      <c r="G125" s="146"/>
      <c r="H125" s="13"/>
      <c r="I125" s="34"/>
      <c r="J125" s="13"/>
      <c r="K125" s="13"/>
      <c r="L125" s="13"/>
      <c r="M125" s="13"/>
      <c r="N125" s="13"/>
      <c r="O125" s="13"/>
      <c r="P125" s="13"/>
      <c r="Q125" s="13"/>
      <c r="R125" s="13"/>
      <c r="S125" s="13"/>
      <c r="T125" s="13"/>
      <c r="U125" s="13"/>
      <c r="V125" s="13"/>
      <c r="W125" s="13"/>
      <c r="X125" s="13"/>
      <c r="Y125" s="13"/>
      <c r="Z125" s="13"/>
    </row>
    <row r="126" ht="15.75" customHeight="1">
      <c r="A126" s="13"/>
      <c r="B126" s="127" t="s">
        <v>146</v>
      </c>
      <c r="C126" s="128">
        <f>C44+C53+C64+C79+C93+C105+C112+C123</f>
        <v>45007766.68</v>
      </c>
      <c r="D126" s="147">
        <f>C126/unit</f>
        <v>266318.1461</v>
      </c>
      <c r="E126" s="128">
        <f>E44+E53+E64+E79+E93+E105+E112+E123</f>
        <v>0</v>
      </c>
      <c r="F126" s="147">
        <f>E126/unit</f>
        <v>0</v>
      </c>
      <c r="G126" s="128">
        <f>G44+G53+G64+G79+G93+G105+G112+G123</f>
        <v>40991887.98</v>
      </c>
      <c r="H126" s="13"/>
      <c r="I126" s="148"/>
      <c r="J126" s="13"/>
      <c r="K126" s="13"/>
      <c r="L126" s="13"/>
      <c r="M126" s="13"/>
      <c r="N126" s="13"/>
      <c r="O126" s="13"/>
      <c r="P126" s="13"/>
      <c r="Q126" s="13"/>
      <c r="R126" s="13"/>
      <c r="S126" s="13"/>
      <c r="T126" s="13"/>
      <c r="U126" s="13"/>
      <c r="V126" s="13"/>
      <c r="W126" s="13"/>
      <c r="X126" s="13"/>
      <c r="Y126" s="13"/>
      <c r="Z126" s="13"/>
    </row>
    <row r="127" ht="15.75" customHeight="1">
      <c r="A127" s="13"/>
      <c r="B127" s="62"/>
      <c r="C127" s="34"/>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ht="15.75" customHeight="1">
      <c r="A128" s="13"/>
      <c r="B128" s="60" t="s">
        <v>147</v>
      </c>
      <c r="C128" s="37"/>
      <c r="D128" s="37"/>
      <c r="E128" s="37"/>
      <c r="F128" s="37"/>
      <c r="G128" s="37"/>
      <c r="H128" s="37"/>
      <c r="I128" s="37"/>
      <c r="J128" s="37"/>
      <c r="K128" s="13"/>
      <c r="L128" s="13"/>
      <c r="M128" s="13"/>
      <c r="N128" s="13"/>
      <c r="O128" s="13"/>
      <c r="P128" s="13"/>
      <c r="Q128" s="13"/>
      <c r="R128" s="13"/>
      <c r="S128" s="13"/>
      <c r="T128" s="13"/>
      <c r="U128" s="13"/>
      <c r="V128" s="13"/>
      <c r="W128" s="13"/>
      <c r="X128" s="13"/>
      <c r="Y128" s="13"/>
      <c r="Z128" s="13"/>
    </row>
    <row r="129" ht="15.75" customHeight="1">
      <c r="A129" s="13"/>
      <c r="B129" s="62"/>
      <c r="C129" s="34"/>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49" t="s">
        <v>148</v>
      </c>
      <c r="C130" s="37"/>
      <c r="D130" s="37"/>
      <c r="E130" s="37"/>
      <c r="F130" s="37"/>
      <c r="G130" s="37"/>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150" t="s">
        <v>149</v>
      </c>
      <c r="C131" s="151">
        <v>0.04</v>
      </c>
      <c r="D131" s="152">
        <v>0.09</v>
      </c>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153" t="s">
        <v>150</v>
      </c>
      <c r="C132" s="154">
        <f>G126</f>
        <v>40991887.98</v>
      </c>
      <c r="D132" s="155">
        <v>0.0</v>
      </c>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156" t="s">
        <v>151</v>
      </c>
      <c r="C133" s="157">
        <v>1.0</v>
      </c>
      <c r="D133" s="158">
        <v>0.0</v>
      </c>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153" t="s">
        <v>152</v>
      </c>
      <c r="C134" s="159">
        <f t="shared" ref="C134:D134" si="13">C132*C133</f>
        <v>40991887.98</v>
      </c>
      <c r="D134" s="160">
        <f t="shared" si="13"/>
        <v>0</v>
      </c>
      <c r="E134" s="95"/>
      <c r="F134" s="13"/>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161" t="s">
        <v>153</v>
      </c>
      <c r="C135" s="162">
        <f>IF(G135="Yes",C134*1.3,C134)</f>
        <v>40991887.98</v>
      </c>
      <c r="D135" s="163">
        <f>IF(G135="Yes",D134*1.3,D134)</f>
        <v>0</v>
      </c>
      <c r="E135" s="13"/>
      <c r="F135" s="164" t="s">
        <v>154</v>
      </c>
      <c r="G135" s="165" t="s">
        <v>155</v>
      </c>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161" t="s">
        <v>156</v>
      </c>
      <c r="C136" s="166">
        <v>0.04</v>
      </c>
      <c r="D136" s="167">
        <v>0.0</v>
      </c>
      <c r="E136" s="13"/>
      <c r="F136" s="168"/>
      <c r="G136" s="13"/>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156" t="s">
        <v>157</v>
      </c>
      <c r="C137" s="169">
        <f t="shared" ref="C137:D137" si="14">C135*C136</f>
        <v>1639675.519</v>
      </c>
      <c r="D137" s="170">
        <f t="shared" si="14"/>
        <v>0</v>
      </c>
      <c r="E137" s="13"/>
      <c r="F137" s="168"/>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53" t="s">
        <v>158</v>
      </c>
      <c r="C138" s="159">
        <f t="shared" ref="C138:D138" si="15">C137*10</f>
        <v>16396755.19</v>
      </c>
      <c r="D138" s="160">
        <f t="shared" si="15"/>
        <v>0</v>
      </c>
      <c r="E138" s="13"/>
      <c r="F138" s="171"/>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172" t="s">
        <v>159</v>
      </c>
      <c r="C139" s="173">
        <f>AVERAGE('Development Comps'!C15:F15)</f>
        <v>0.86625</v>
      </c>
      <c r="D139" s="113">
        <v>0.0</v>
      </c>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174" t="s">
        <v>160</v>
      </c>
      <c r="C140" s="175">
        <f t="shared" ref="C140:D140" si="16">C138*C139</f>
        <v>14203689.19</v>
      </c>
      <c r="D140" s="176">
        <f t="shared" si="16"/>
        <v>0</v>
      </c>
      <c r="E140" s="177"/>
      <c r="F140" s="13"/>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13"/>
      <c r="C141" s="34"/>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13"/>
      <c r="C142" s="34"/>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78" t="s">
        <v>161</v>
      </c>
      <c r="C143" s="37"/>
      <c r="D143" s="37"/>
      <c r="E143" s="37"/>
      <c r="F143" s="37"/>
      <c r="G143" s="37"/>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179" t="s">
        <v>162</v>
      </c>
      <c r="C144" s="180"/>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13" t="s">
        <v>150</v>
      </c>
      <c r="C145" s="181">
        <f>G126</f>
        <v>40991887.98</v>
      </c>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182" t="s">
        <v>163</v>
      </c>
      <c r="C146" s="183">
        <f>D26</f>
        <v>50000</v>
      </c>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13" t="s">
        <v>164</v>
      </c>
      <c r="C147" s="181">
        <f>C145-C146</f>
        <v>40941887.98</v>
      </c>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3" t="s">
        <v>165</v>
      </c>
      <c r="C148" s="184">
        <v>1.0</v>
      </c>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13" t="s">
        <v>150</v>
      </c>
      <c r="C149" s="181">
        <f>C147*C148</f>
        <v>40941887.98</v>
      </c>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182" t="s">
        <v>151</v>
      </c>
      <c r="C150" s="185">
        <v>1.0</v>
      </c>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13" t="s">
        <v>152</v>
      </c>
      <c r="C151" s="181">
        <f>C149*C150</f>
        <v>40941887.98</v>
      </c>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82" t="s">
        <v>156</v>
      </c>
      <c r="C152" s="185">
        <v>0.03</v>
      </c>
      <c r="D152" s="186" t="s">
        <v>166</v>
      </c>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187" t="s">
        <v>167</v>
      </c>
      <c r="C153" s="188">
        <f>C151*C152</f>
        <v>1228256.64</v>
      </c>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3"/>
      <c r="C154" s="34"/>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79" t="s">
        <v>168</v>
      </c>
      <c r="C155" s="180"/>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t="s">
        <v>169</v>
      </c>
      <c r="C156" s="181">
        <f>C126</f>
        <v>45007766.68</v>
      </c>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82" t="s">
        <v>170</v>
      </c>
      <c r="C157" s="183">
        <f>C5+C6+C7+C9+C10+C12+C11</f>
        <v>39607766.92</v>
      </c>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5.75" customHeight="1">
      <c r="A158" s="13"/>
      <c r="B158" s="13" t="s">
        <v>171</v>
      </c>
      <c r="C158" s="181">
        <f>C156-C157</f>
        <v>5399999.769</v>
      </c>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3" t="s">
        <v>172</v>
      </c>
      <c r="C159" s="189">
        <v>6.0</v>
      </c>
      <c r="D159" s="186" t="s">
        <v>166</v>
      </c>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t="s">
        <v>173</v>
      </c>
      <c r="C160" s="181">
        <f>C158/C159</f>
        <v>899999.9616</v>
      </c>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t="s">
        <v>174</v>
      </c>
      <c r="C161" s="190">
        <v>0.75</v>
      </c>
      <c r="D161" s="186" t="s">
        <v>166</v>
      </c>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82" t="s">
        <v>175</v>
      </c>
      <c r="C162" s="183">
        <f>C160/C161</f>
        <v>1199999.949</v>
      </c>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91" t="s">
        <v>176</v>
      </c>
      <c r="C163" s="192">
        <f>C162</f>
        <v>1199999.949</v>
      </c>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93" t="s">
        <v>177</v>
      </c>
      <c r="C164" s="194">
        <v>1200000.0</v>
      </c>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c r="C165" s="34"/>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95" t="s">
        <v>178</v>
      </c>
      <c r="C166" s="196">
        <f>MAX(MIN(C163,C153,C164),0)</f>
        <v>1199999.949</v>
      </c>
      <c r="D166" s="58"/>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97" t="s">
        <v>179</v>
      </c>
      <c r="C167" s="198">
        <f>C166*C161*C159</f>
        <v>5399999.769</v>
      </c>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c r="C168" s="34"/>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5.75" customHeight="1">
      <c r="A169" s="13"/>
      <c r="B169" s="13"/>
      <c r="C169" s="34"/>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5.75" customHeight="1">
      <c r="A170" s="13"/>
      <c r="B170" s="13"/>
      <c r="C170" s="34"/>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5.75" customHeight="1">
      <c r="A171" s="13"/>
      <c r="B171" s="13"/>
      <c r="C171" s="34"/>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5.75" customHeight="1">
      <c r="A172" s="13"/>
      <c r="B172" s="13"/>
      <c r="C172" s="34"/>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5.75" customHeight="1">
      <c r="A173" s="13"/>
      <c r="B173" s="13"/>
      <c r="C173" s="34"/>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5.75" customHeight="1">
      <c r="A174" s="13"/>
      <c r="B174" s="13"/>
      <c r="C174" s="34"/>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5.75" customHeight="1">
      <c r="A175" s="13"/>
      <c r="B175" s="13"/>
      <c r="C175" s="34"/>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5.75" customHeight="1">
      <c r="A176" s="13"/>
      <c r="B176" s="13"/>
      <c r="C176" s="34"/>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5.75" customHeight="1">
      <c r="A177" s="13"/>
      <c r="B177" s="13"/>
      <c r="C177" s="34"/>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5.75" customHeight="1">
      <c r="A178" s="13"/>
      <c r="B178" s="13"/>
      <c r="C178" s="34"/>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B179" s="13"/>
      <c r="C179" s="34"/>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B180" s="13"/>
      <c r="C180" s="34"/>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B181" s="13"/>
      <c r="C181" s="34"/>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5.75" customHeight="1">
      <c r="A182" s="13"/>
      <c r="B182" s="13"/>
      <c r="C182" s="34"/>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5.75" customHeight="1">
      <c r="A183" s="13"/>
      <c r="B183" s="13"/>
      <c r="C183" s="34"/>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34"/>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34"/>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34"/>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34"/>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34"/>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34"/>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34"/>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34"/>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34"/>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34"/>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34"/>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34"/>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34"/>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34"/>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34"/>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34"/>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34"/>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34"/>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34"/>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34"/>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34"/>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34"/>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34"/>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34"/>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34"/>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34"/>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34"/>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34"/>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34"/>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34"/>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34"/>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34"/>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34"/>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34"/>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34"/>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34"/>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34"/>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5.75" customHeight="1">
      <c r="A221" s="13"/>
      <c r="B221" s="13"/>
      <c r="C221" s="34"/>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5.75" customHeight="1">
      <c r="A222" s="13"/>
      <c r="B222" s="13"/>
      <c r="C222" s="34"/>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5.75" customHeight="1">
      <c r="A223" s="13"/>
      <c r="B223" s="13"/>
      <c r="C223" s="34"/>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5.75" customHeight="1">
      <c r="A224" s="13"/>
      <c r="B224" s="13"/>
      <c r="C224" s="34"/>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5.75" customHeight="1">
      <c r="A225" s="13"/>
      <c r="B225" s="13"/>
      <c r="C225" s="34"/>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5.75" customHeight="1">
      <c r="A226" s="13"/>
      <c r="B226" s="13"/>
      <c r="C226" s="34"/>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5.75" customHeight="1">
      <c r="A227" s="13"/>
      <c r="B227" s="13"/>
      <c r="C227" s="34"/>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5.75" customHeight="1">
      <c r="A228" s="13"/>
      <c r="B228" s="13"/>
      <c r="C228" s="34"/>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5.75" customHeight="1">
      <c r="A229" s="13"/>
      <c r="B229" s="13"/>
      <c r="C229" s="34"/>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5.75" customHeight="1">
      <c r="A230" s="13"/>
      <c r="B230" s="13"/>
      <c r="C230" s="34"/>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5.75" customHeight="1">
      <c r="A231" s="13"/>
      <c r="B231" s="13"/>
      <c r="C231" s="34"/>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5.75" customHeight="1">
      <c r="A232" s="13"/>
      <c r="B232" s="13"/>
      <c r="C232" s="34"/>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5.75" customHeight="1">
      <c r="A233" s="13"/>
      <c r="B233" s="13"/>
      <c r="C233" s="34"/>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5.75" customHeight="1">
      <c r="A234" s="13"/>
      <c r="B234" s="13"/>
      <c r="C234" s="34"/>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5.75" customHeight="1">
      <c r="A235" s="13"/>
      <c r="B235" s="13"/>
      <c r="C235" s="34"/>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5.75" customHeight="1">
      <c r="A236" s="13"/>
      <c r="B236" s="13"/>
      <c r="C236" s="34"/>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5.75" customHeight="1">
      <c r="A237" s="13"/>
      <c r="B237" s="13"/>
      <c r="C237" s="34"/>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5.75" customHeight="1">
      <c r="A238" s="13"/>
      <c r="B238" s="13"/>
      <c r="C238" s="34"/>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5.75" customHeight="1">
      <c r="A239" s="13"/>
      <c r="B239" s="13"/>
      <c r="C239" s="34"/>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5.75" customHeight="1">
      <c r="A240" s="13"/>
      <c r="B240" s="13"/>
      <c r="C240" s="34"/>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5.75" customHeight="1">
      <c r="A241" s="13"/>
      <c r="B241" s="13"/>
      <c r="C241" s="34"/>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5.75" customHeight="1">
      <c r="A242" s="13"/>
      <c r="B242" s="13"/>
      <c r="C242" s="34"/>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5.75" customHeight="1">
      <c r="A243" s="13"/>
      <c r="B243" s="13"/>
      <c r="C243" s="34"/>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5.75" customHeight="1">
      <c r="A244" s="13"/>
      <c r="B244" s="13"/>
      <c r="C244" s="34"/>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5.75" customHeight="1">
      <c r="A245" s="13"/>
      <c r="B245" s="13"/>
      <c r="C245" s="34"/>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5.75" customHeight="1">
      <c r="A246" s="13"/>
      <c r="B246" s="13"/>
      <c r="C246" s="34"/>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5.75" customHeight="1">
      <c r="A247" s="13"/>
      <c r="B247" s="13"/>
      <c r="C247" s="34"/>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5.75" customHeight="1">
      <c r="A248" s="13"/>
      <c r="B248" s="13"/>
      <c r="C248" s="34"/>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5.75" customHeight="1">
      <c r="A249" s="13"/>
      <c r="B249" s="13"/>
      <c r="C249" s="34"/>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5.75" customHeight="1">
      <c r="A250" s="13"/>
      <c r="B250" s="13"/>
      <c r="C250" s="34"/>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5.75" customHeight="1">
      <c r="A251" s="13"/>
      <c r="B251" s="13"/>
      <c r="C251" s="34"/>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5.75" customHeight="1">
      <c r="A252" s="13"/>
      <c r="B252" s="13"/>
      <c r="C252" s="34"/>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5.75" customHeight="1">
      <c r="A253" s="13"/>
      <c r="B253" s="13"/>
      <c r="C253" s="34"/>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5.75" customHeight="1">
      <c r="A254" s="13"/>
      <c r="B254" s="13"/>
      <c r="C254" s="34"/>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5.75" customHeight="1">
      <c r="A255" s="13"/>
      <c r="B255" s="13"/>
      <c r="C255" s="34"/>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5.75" customHeight="1">
      <c r="A256" s="13"/>
      <c r="B256" s="13"/>
      <c r="C256" s="34"/>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5.75" customHeight="1">
      <c r="A257" s="13"/>
      <c r="B257" s="13"/>
      <c r="C257" s="34"/>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5.75" customHeight="1">
      <c r="A258" s="13"/>
      <c r="B258" s="13"/>
      <c r="C258" s="34"/>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5.75" customHeight="1">
      <c r="A259" s="13"/>
      <c r="B259" s="13"/>
      <c r="C259" s="34"/>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5.75" customHeight="1">
      <c r="A260" s="13"/>
      <c r="B260" s="13"/>
      <c r="C260" s="34"/>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5.75" customHeight="1">
      <c r="A261" s="13"/>
      <c r="B261" s="13"/>
      <c r="C261" s="34"/>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5.75" customHeight="1">
      <c r="A262" s="13"/>
      <c r="B262" s="13"/>
      <c r="C262" s="34"/>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5.75" customHeight="1">
      <c r="A263" s="13"/>
      <c r="B263" s="13"/>
      <c r="C263" s="34"/>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5.75" customHeight="1">
      <c r="A264" s="13"/>
      <c r="B264" s="13"/>
      <c r="C264" s="34"/>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5.75" customHeight="1">
      <c r="A265" s="13"/>
      <c r="B265" s="13"/>
      <c r="C265" s="34"/>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5.75" customHeight="1">
      <c r="A266" s="13"/>
      <c r="B266" s="13"/>
      <c r="C266" s="34"/>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5.75" customHeight="1">
      <c r="A267" s="13"/>
      <c r="B267" s="13"/>
      <c r="C267" s="34"/>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5.75" customHeight="1">
      <c r="A268" s="13"/>
      <c r="B268" s="13"/>
      <c r="C268" s="34"/>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5.75" customHeight="1">
      <c r="A269" s="13"/>
      <c r="B269" s="13"/>
      <c r="C269" s="34"/>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5.75" customHeight="1">
      <c r="A270" s="13"/>
      <c r="B270" s="13"/>
      <c r="C270" s="34"/>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5.75" customHeight="1">
      <c r="A271" s="13"/>
      <c r="B271" s="13"/>
      <c r="C271" s="34"/>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5.75" customHeight="1">
      <c r="A272" s="13"/>
      <c r="B272" s="13"/>
      <c r="C272" s="34"/>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5.75" customHeight="1">
      <c r="A273" s="13"/>
      <c r="B273" s="13"/>
      <c r="C273" s="34"/>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5.75" customHeight="1">
      <c r="A274" s="13"/>
      <c r="B274" s="13"/>
      <c r="C274" s="34"/>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5.75" customHeight="1">
      <c r="A275" s="13"/>
      <c r="B275" s="13"/>
      <c r="C275" s="34"/>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5.75" customHeight="1">
      <c r="A276" s="13"/>
      <c r="B276" s="13"/>
      <c r="C276" s="34"/>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5.75" customHeight="1">
      <c r="A277" s="13"/>
      <c r="B277" s="13"/>
      <c r="C277" s="34"/>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5.75" customHeight="1">
      <c r="A278" s="13"/>
      <c r="B278" s="13"/>
      <c r="C278" s="34"/>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5.75" customHeight="1">
      <c r="A279" s="13"/>
      <c r="B279" s="13"/>
      <c r="C279" s="34"/>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5.75" customHeight="1">
      <c r="A280" s="13"/>
      <c r="B280" s="13"/>
      <c r="C280" s="34"/>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5.75" customHeight="1">
      <c r="A281" s="13"/>
      <c r="B281" s="13"/>
      <c r="C281" s="34"/>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5.75" customHeight="1">
      <c r="A282" s="13"/>
      <c r="B282" s="13"/>
      <c r="C282" s="34"/>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5.75" customHeight="1">
      <c r="A283" s="13"/>
      <c r="B283" s="13"/>
      <c r="C283" s="34"/>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5.75" customHeight="1">
      <c r="A284" s="13"/>
      <c r="B284" s="13"/>
      <c r="C284" s="34"/>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5.75" customHeight="1">
      <c r="A285" s="13"/>
      <c r="B285" s="13"/>
      <c r="C285" s="34"/>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5.75" customHeight="1">
      <c r="A286" s="13"/>
      <c r="B286" s="13"/>
      <c r="C286" s="34"/>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5.75" customHeight="1">
      <c r="A287" s="13"/>
      <c r="B287" s="13"/>
      <c r="C287" s="34"/>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5.75" customHeight="1">
      <c r="A288" s="13"/>
      <c r="B288" s="13"/>
      <c r="C288" s="34"/>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5.75" customHeight="1">
      <c r="A289" s="13"/>
      <c r="B289" s="13"/>
      <c r="C289" s="34"/>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5.75" customHeight="1">
      <c r="A290" s="13"/>
      <c r="B290" s="13"/>
      <c r="C290" s="34"/>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5.75" customHeight="1">
      <c r="A291" s="13"/>
      <c r="B291" s="13"/>
      <c r="C291" s="34"/>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5.75" customHeight="1">
      <c r="A292" s="13"/>
      <c r="B292" s="13"/>
      <c r="C292" s="34"/>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5.75" customHeight="1">
      <c r="A293" s="13"/>
      <c r="B293" s="13"/>
      <c r="C293" s="34"/>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5.75" customHeight="1">
      <c r="A294" s="13"/>
      <c r="B294" s="13"/>
      <c r="C294" s="34"/>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5.75" customHeight="1">
      <c r="A295" s="13"/>
      <c r="B295" s="13"/>
      <c r="C295" s="34"/>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5.75" customHeight="1">
      <c r="A296" s="13"/>
      <c r="B296" s="13"/>
      <c r="C296" s="34"/>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5.75" customHeight="1">
      <c r="A297" s="13"/>
      <c r="B297" s="13"/>
      <c r="C297" s="34"/>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5.75" customHeight="1">
      <c r="A298" s="13"/>
      <c r="B298" s="13"/>
      <c r="C298" s="34"/>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5.75" customHeight="1">
      <c r="A299" s="13"/>
      <c r="B299" s="13"/>
      <c r="C299" s="34"/>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5.75" customHeight="1">
      <c r="A300" s="13"/>
      <c r="B300" s="13"/>
      <c r="C300" s="34"/>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5.75" customHeight="1">
      <c r="A301" s="13"/>
      <c r="B301" s="13"/>
      <c r="C301" s="34"/>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5.75" customHeight="1">
      <c r="A302" s="13"/>
      <c r="B302" s="13"/>
      <c r="C302" s="34"/>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5.75" customHeight="1">
      <c r="A303" s="13"/>
      <c r="B303" s="13"/>
      <c r="C303" s="34"/>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5.75" customHeight="1">
      <c r="A304" s="13"/>
      <c r="B304" s="13"/>
      <c r="C304" s="34"/>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5.75" customHeight="1">
      <c r="A305" s="13"/>
      <c r="B305" s="13"/>
      <c r="C305" s="34"/>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5.75" customHeight="1">
      <c r="A306" s="13"/>
      <c r="B306" s="13"/>
      <c r="C306" s="34"/>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5.75" customHeight="1">
      <c r="A307" s="13"/>
      <c r="B307" s="13"/>
      <c r="C307" s="34"/>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5.75" customHeight="1">
      <c r="A308" s="13"/>
      <c r="B308" s="13"/>
      <c r="C308" s="34"/>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5.75" customHeight="1">
      <c r="A309" s="13"/>
      <c r="B309" s="13"/>
      <c r="C309" s="34"/>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5.75" customHeight="1">
      <c r="A310" s="13"/>
      <c r="B310" s="13"/>
      <c r="C310" s="34"/>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5.75" customHeight="1">
      <c r="A311" s="13"/>
      <c r="B311" s="13"/>
      <c r="C311" s="34"/>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5.75" customHeight="1">
      <c r="A312" s="13"/>
      <c r="B312" s="13"/>
      <c r="C312" s="34"/>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5.75" customHeight="1">
      <c r="A313" s="13"/>
      <c r="B313" s="13"/>
      <c r="C313" s="34"/>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5.75" customHeight="1">
      <c r="A314" s="13"/>
      <c r="B314" s="13"/>
      <c r="C314" s="34"/>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5.75" customHeight="1">
      <c r="A315" s="13"/>
      <c r="B315" s="13"/>
      <c r="C315" s="34"/>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5.75" customHeight="1">
      <c r="A316" s="13"/>
      <c r="B316" s="13"/>
      <c r="C316" s="34"/>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5.75" customHeight="1">
      <c r="A317" s="13"/>
      <c r="B317" s="13"/>
      <c r="C317" s="34"/>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5.75" customHeight="1">
      <c r="A318" s="13"/>
      <c r="B318" s="13"/>
      <c r="C318" s="34"/>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5.75" customHeight="1">
      <c r="A319" s="13"/>
      <c r="B319" s="13"/>
      <c r="C319" s="34"/>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5.75" customHeight="1">
      <c r="A320" s="13"/>
      <c r="B320" s="13"/>
      <c r="C320" s="34"/>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5.75" customHeight="1">
      <c r="A321" s="13"/>
      <c r="B321" s="13"/>
      <c r="C321" s="34"/>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5.75" customHeight="1">
      <c r="A322" s="13"/>
      <c r="B322" s="13"/>
      <c r="C322" s="34"/>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5.75" customHeight="1">
      <c r="A323" s="13"/>
      <c r="B323" s="13"/>
      <c r="C323" s="34"/>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5.75" customHeight="1">
      <c r="A324" s="13"/>
      <c r="B324" s="13"/>
      <c r="C324" s="34"/>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5.75" customHeight="1">
      <c r="A325" s="13"/>
      <c r="B325" s="13"/>
      <c r="C325" s="34"/>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5.75" customHeight="1">
      <c r="A326" s="13"/>
      <c r="B326" s="13"/>
      <c r="C326" s="34"/>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5.75" customHeight="1">
      <c r="A327" s="13"/>
      <c r="B327" s="13"/>
      <c r="C327" s="34"/>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5.75" customHeight="1">
      <c r="A328" s="13"/>
      <c r="B328" s="13"/>
      <c r="C328" s="34"/>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5.75" customHeight="1">
      <c r="A329" s="13"/>
      <c r="B329" s="13"/>
      <c r="C329" s="34"/>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5.75" customHeight="1">
      <c r="A330" s="13"/>
      <c r="B330" s="13"/>
      <c r="C330" s="34"/>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5.75" customHeight="1">
      <c r="A331" s="13"/>
      <c r="B331" s="13"/>
      <c r="C331" s="34"/>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5.75" customHeight="1">
      <c r="A332" s="13"/>
      <c r="B332" s="13"/>
      <c r="C332" s="34"/>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5.75" customHeight="1">
      <c r="A333" s="13"/>
      <c r="B333" s="13"/>
      <c r="C333" s="34"/>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5.75" customHeight="1">
      <c r="A334" s="13"/>
      <c r="B334" s="13"/>
      <c r="C334" s="34"/>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5.75" customHeight="1">
      <c r="A335" s="13"/>
      <c r="B335" s="13"/>
      <c r="C335" s="34"/>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5.75" customHeight="1">
      <c r="A336" s="13"/>
      <c r="B336" s="13"/>
      <c r="C336" s="34"/>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5.75" customHeight="1">
      <c r="A337" s="13"/>
      <c r="B337" s="13"/>
      <c r="C337" s="34"/>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5.75" customHeight="1">
      <c r="A338" s="13"/>
      <c r="B338" s="13"/>
      <c r="C338" s="34"/>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5.75" customHeight="1">
      <c r="A339" s="13"/>
      <c r="B339" s="13"/>
      <c r="C339" s="34"/>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5.75" customHeight="1">
      <c r="A340" s="13"/>
      <c r="B340" s="13"/>
      <c r="C340" s="34"/>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5.75" customHeight="1">
      <c r="A341" s="13"/>
      <c r="B341" s="13"/>
      <c r="C341" s="34"/>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5.75" customHeight="1">
      <c r="A342" s="13"/>
      <c r="B342" s="13"/>
      <c r="C342" s="34"/>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5.75" customHeight="1">
      <c r="A343" s="13"/>
      <c r="B343" s="13"/>
      <c r="C343" s="34"/>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5.75" customHeight="1">
      <c r="A344" s="13"/>
      <c r="B344" s="13"/>
      <c r="C344" s="34"/>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5.75" customHeight="1">
      <c r="A345" s="13"/>
      <c r="B345" s="13"/>
      <c r="C345" s="34"/>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5.75" customHeight="1">
      <c r="A346" s="13"/>
      <c r="B346" s="13"/>
      <c r="C346" s="34"/>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5.75" customHeight="1">
      <c r="A347" s="13"/>
      <c r="B347" s="13"/>
      <c r="C347" s="34"/>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5.75" customHeight="1">
      <c r="A348" s="13"/>
      <c r="B348" s="13"/>
      <c r="C348" s="34"/>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5.75" customHeight="1">
      <c r="A349" s="13"/>
      <c r="B349" s="13"/>
      <c r="C349" s="34"/>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5.75" customHeight="1">
      <c r="A350" s="13"/>
      <c r="B350" s="13"/>
      <c r="C350" s="34"/>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5.75" customHeight="1">
      <c r="A351" s="13"/>
      <c r="B351" s="13"/>
      <c r="C351" s="34"/>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5.75" customHeight="1">
      <c r="A352" s="13"/>
      <c r="B352" s="13"/>
      <c r="C352" s="34"/>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5.75" customHeight="1">
      <c r="A353" s="13"/>
      <c r="B353" s="13"/>
      <c r="C353" s="34"/>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5.75" customHeight="1">
      <c r="A354" s="13"/>
      <c r="B354" s="13"/>
      <c r="C354" s="34"/>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5.75" customHeight="1">
      <c r="A355" s="13"/>
      <c r="B355" s="13"/>
      <c r="C355" s="34"/>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5.75" customHeight="1">
      <c r="A356" s="13"/>
      <c r="B356" s="13"/>
      <c r="C356" s="34"/>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5.75" customHeight="1">
      <c r="A357" s="13"/>
      <c r="B357" s="13"/>
      <c r="C357" s="34"/>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5.75" customHeight="1">
      <c r="A358" s="13"/>
      <c r="B358" s="13"/>
      <c r="C358" s="34"/>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5.75" customHeight="1">
      <c r="A359" s="13"/>
      <c r="B359" s="13"/>
      <c r="C359" s="34"/>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5.75" customHeight="1">
      <c r="A360" s="13"/>
      <c r="B360" s="13"/>
      <c r="C360" s="34"/>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5.75" customHeight="1">
      <c r="A361" s="13"/>
      <c r="B361" s="13"/>
      <c r="C361" s="34"/>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5.75" customHeight="1">
      <c r="A362" s="13"/>
      <c r="B362" s="13"/>
      <c r="C362" s="34"/>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5.75" customHeight="1">
      <c r="A363" s="13"/>
      <c r="B363" s="13"/>
      <c r="C363" s="34"/>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5.75" customHeight="1">
      <c r="A364" s="13"/>
      <c r="B364" s="13"/>
      <c r="C364" s="34"/>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5.75" customHeight="1">
      <c r="A365" s="13"/>
      <c r="B365" s="13"/>
      <c r="C365" s="34"/>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5.75" customHeight="1">
      <c r="A366" s="13"/>
      <c r="B366" s="13"/>
      <c r="C366" s="34"/>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5.75" customHeight="1">
      <c r="A367" s="13"/>
      <c r="B367" s="13"/>
      <c r="C367" s="34"/>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F135:F138"/>
    <mergeCell ref="B143:G143"/>
    <mergeCell ref="B2:G2"/>
    <mergeCell ref="B4:C4"/>
    <mergeCell ref="D4:E4"/>
    <mergeCell ref="B17:G17"/>
    <mergeCell ref="B36:G36"/>
    <mergeCell ref="B128:J128"/>
    <mergeCell ref="B130:G130"/>
  </mergeCells>
  <conditionalFormatting sqref="G5">
    <cfRule type="expression" dxfId="0" priority="1">
      <formula>$G$5&lt;0.5</formula>
    </cfRule>
  </conditionalFormatting>
  <conditionalFormatting sqref="G5">
    <cfRule type="expression" dxfId="1" priority="2">
      <formula>$G$5&gt;=0.5</formula>
    </cfRule>
  </conditionalFormatting>
  <conditionalFormatting sqref="G15">
    <cfRule type="expression" dxfId="1" priority="3">
      <formula>ABS($G$15)&lt;1</formula>
    </cfRule>
  </conditionalFormatting>
  <conditionalFormatting sqref="G15">
    <cfRule type="expression" dxfId="2" priority="4">
      <formula>$G$15&gt;1</formula>
    </cfRule>
  </conditionalFormatting>
  <conditionalFormatting sqref="G15">
    <cfRule type="expression" dxfId="0" priority="5">
      <formula>$G$15&lt;-1</formula>
    </cfRule>
  </conditionalFormatting>
  <dataValidations>
    <dataValidation type="list" allowBlank="1" showErrorMessage="1" sqref="G135">
      <formula1>'Data Validation'!$B$3:$B$4</formula1>
    </dataValidation>
    <dataValidation type="list" allowBlank="1" showErrorMessage="1" sqref="C20:C29">
      <formula1>'Data Validation'!$D$3:$D$9</formula1>
    </dataValidation>
    <dataValidation type="list" allowBlank="1" showErrorMessage="1" sqref="C31">
      <formula1>"Hard Debt,Soft Debt,Other"</formula1>
    </dataValidation>
  </dataValidation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4C6E7"/>
    <pageSetUpPr/>
  </sheetPr>
  <sheetViews>
    <sheetView workbookViewId="0"/>
  </sheetViews>
  <sheetFormatPr customHeight="1" defaultColWidth="12.63" defaultRowHeight="15.0"/>
  <cols>
    <col customWidth="1" min="1" max="1" width="2.63"/>
    <col customWidth="1" min="2" max="2" width="32.13"/>
    <col customWidth="1" min="3" max="3" width="13.5"/>
    <col customWidth="1" min="4" max="6" width="13.38"/>
    <col customWidth="1" min="8" max="8" width="12.13"/>
    <col customWidth="1" min="9" max="11" width="13.38"/>
    <col customWidth="1" min="12" max="26" width="8.0"/>
  </cols>
  <sheetData>
    <row r="1" ht="9.0" customHeight="1">
      <c r="A1" s="13"/>
      <c r="B1" s="13"/>
      <c r="C1" s="13"/>
      <c r="D1" s="13"/>
      <c r="E1" s="13"/>
      <c r="F1" s="13"/>
      <c r="G1" s="13"/>
      <c r="H1" s="13"/>
      <c r="I1" s="13"/>
      <c r="J1" s="13"/>
      <c r="K1" s="13"/>
      <c r="L1" s="13"/>
      <c r="M1" s="13"/>
      <c r="N1" s="13"/>
      <c r="O1" s="13"/>
      <c r="P1" s="13"/>
      <c r="Q1" s="13"/>
      <c r="R1" s="13"/>
      <c r="S1" s="13"/>
      <c r="T1" s="13"/>
      <c r="U1" s="13"/>
      <c r="V1" s="13"/>
      <c r="W1" s="13"/>
      <c r="X1" s="13"/>
      <c r="Y1" s="13"/>
      <c r="Z1" s="13"/>
    </row>
    <row r="2">
      <c r="A2" s="13"/>
      <c r="B2" s="36" t="s">
        <v>180</v>
      </c>
      <c r="C2" s="37"/>
      <c r="D2" s="37"/>
      <c r="E2" s="37"/>
      <c r="F2" s="37"/>
      <c r="G2" s="37"/>
      <c r="H2" s="37"/>
      <c r="I2" s="199"/>
      <c r="J2" s="199"/>
      <c r="K2" s="13"/>
      <c r="L2" s="13"/>
      <c r="M2" s="13"/>
      <c r="N2" s="13"/>
      <c r="O2" s="13"/>
      <c r="P2" s="13"/>
      <c r="Q2" s="13"/>
      <c r="R2" s="13"/>
      <c r="S2" s="13"/>
      <c r="T2" s="13"/>
      <c r="U2" s="13"/>
      <c r="V2" s="13"/>
      <c r="W2" s="13"/>
      <c r="X2" s="13"/>
      <c r="Y2" s="13"/>
      <c r="Z2" s="13"/>
    </row>
    <row r="3">
      <c r="A3" s="13"/>
      <c r="B3" s="200"/>
      <c r="C3" s="200"/>
      <c r="D3" s="200"/>
      <c r="E3" s="200"/>
      <c r="F3" s="200"/>
      <c r="G3" s="200"/>
      <c r="H3" s="200"/>
      <c r="I3" s="199"/>
      <c r="J3" s="199"/>
      <c r="K3" s="13"/>
      <c r="L3" s="13"/>
      <c r="M3" s="13"/>
      <c r="N3" s="13"/>
      <c r="O3" s="13"/>
      <c r="P3" s="13"/>
      <c r="Q3" s="13"/>
      <c r="R3" s="13"/>
      <c r="S3" s="13"/>
      <c r="T3" s="13"/>
      <c r="U3" s="13"/>
      <c r="V3" s="13"/>
      <c r="W3" s="13"/>
      <c r="X3" s="13"/>
      <c r="Y3" s="13"/>
      <c r="Z3" s="13"/>
    </row>
    <row r="4">
      <c r="A4" s="13"/>
      <c r="B4" s="201" t="s">
        <v>181</v>
      </c>
      <c r="C4" s="143">
        <f>egi</f>
        <v>2633633.4</v>
      </c>
      <c r="D4" s="200"/>
      <c r="E4" s="200"/>
      <c r="F4" s="200"/>
      <c r="G4" s="39" t="s">
        <v>44</v>
      </c>
      <c r="H4" s="39"/>
      <c r="I4" s="199"/>
      <c r="J4" s="199"/>
      <c r="K4" s="13"/>
      <c r="L4" s="13"/>
      <c r="M4" s="13"/>
      <c r="N4" s="13"/>
      <c r="O4" s="13"/>
      <c r="P4" s="13"/>
      <c r="Q4" s="13"/>
      <c r="R4" s="13"/>
      <c r="S4" s="13"/>
      <c r="T4" s="13"/>
      <c r="U4" s="13"/>
      <c r="V4" s="13"/>
      <c r="W4" s="13"/>
      <c r="X4" s="13"/>
      <c r="Y4" s="13"/>
      <c r="Z4" s="13"/>
    </row>
    <row r="5">
      <c r="A5" s="13"/>
      <c r="B5" s="202" t="s">
        <v>182</v>
      </c>
      <c r="C5" s="203">
        <f>totalopex</f>
        <v>1101852.945</v>
      </c>
      <c r="D5" s="200"/>
      <c r="E5" s="200"/>
      <c r="F5" s="200"/>
      <c r="G5" s="200"/>
      <c r="H5" s="200"/>
      <c r="I5" s="199"/>
      <c r="J5" s="199"/>
      <c r="K5" s="13"/>
      <c r="L5" s="13"/>
      <c r="M5" s="13"/>
      <c r="N5" s="13"/>
      <c r="O5" s="13"/>
      <c r="P5" s="13"/>
      <c r="Q5" s="13"/>
      <c r="R5" s="13"/>
      <c r="S5" s="13"/>
      <c r="T5" s="13"/>
      <c r="U5" s="13"/>
      <c r="V5" s="13"/>
      <c r="W5" s="13"/>
      <c r="X5" s="13"/>
      <c r="Y5" s="13"/>
      <c r="Z5" s="13"/>
    </row>
    <row r="6">
      <c r="A6" s="13"/>
      <c r="B6" s="204" t="s">
        <v>183</v>
      </c>
      <c r="C6" s="205">
        <f>C4-C5</f>
        <v>1531780.455</v>
      </c>
      <c r="D6" s="200"/>
      <c r="E6" s="200"/>
      <c r="F6" s="200"/>
      <c r="G6" s="200"/>
      <c r="H6" s="200"/>
      <c r="I6" s="199"/>
      <c r="J6" s="199"/>
      <c r="K6" s="13"/>
      <c r="L6" s="13"/>
      <c r="M6" s="13"/>
      <c r="N6" s="13"/>
      <c r="O6" s="13"/>
      <c r="P6" s="13"/>
      <c r="Q6" s="13"/>
      <c r="R6" s="13"/>
      <c r="S6" s="13"/>
      <c r="T6" s="13"/>
      <c r="U6" s="13"/>
      <c r="V6" s="13"/>
      <c r="W6" s="13"/>
      <c r="X6" s="13"/>
      <c r="Y6" s="13"/>
      <c r="Z6" s="13"/>
    </row>
    <row r="7">
      <c r="A7" s="13"/>
      <c r="B7" s="15"/>
      <c r="C7" s="13"/>
      <c r="D7" s="13"/>
      <c r="E7" s="13"/>
      <c r="F7" s="13"/>
      <c r="G7" s="13"/>
      <c r="H7" s="13"/>
      <c r="I7" s="13"/>
      <c r="J7" s="13"/>
      <c r="K7" s="13"/>
      <c r="L7" s="13"/>
      <c r="M7" s="13"/>
      <c r="N7" s="13"/>
      <c r="O7" s="13"/>
      <c r="P7" s="13"/>
      <c r="Q7" s="13"/>
      <c r="R7" s="13"/>
      <c r="S7" s="13"/>
      <c r="T7" s="13"/>
      <c r="U7" s="13"/>
      <c r="V7" s="13"/>
      <c r="W7" s="13"/>
      <c r="X7" s="13"/>
      <c r="Y7" s="13"/>
      <c r="Z7" s="13"/>
    </row>
    <row r="8">
      <c r="A8" s="13"/>
      <c r="B8" s="206" t="s">
        <v>184</v>
      </c>
      <c r="C8" s="37"/>
      <c r="D8" s="37"/>
      <c r="E8" s="37"/>
      <c r="F8" s="37"/>
      <c r="G8" s="37"/>
      <c r="H8" s="207"/>
      <c r="I8" s="13"/>
      <c r="J8" s="13"/>
      <c r="K8" s="13"/>
      <c r="L8" s="13"/>
      <c r="M8" s="13"/>
      <c r="N8" s="13"/>
      <c r="O8" s="13"/>
      <c r="P8" s="13"/>
      <c r="Q8" s="13"/>
      <c r="R8" s="13"/>
      <c r="S8" s="13"/>
      <c r="T8" s="13"/>
      <c r="U8" s="13"/>
      <c r="V8" s="13"/>
      <c r="W8" s="13"/>
      <c r="X8" s="13"/>
      <c r="Y8" s="13"/>
      <c r="Z8" s="13"/>
    </row>
    <row r="9">
      <c r="A9" s="13"/>
      <c r="B9" s="13"/>
      <c r="C9" s="13"/>
      <c r="D9" s="13"/>
      <c r="E9" s="13"/>
      <c r="F9" s="13"/>
      <c r="G9" s="13"/>
      <c r="H9" s="13"/>
      <c r="I9" s="13"/>
      <c r="J9" s="13"/>
      <c r="K9" s="13"/>
      <c r="L9" s="13"/>
      <c r="M9" s="13"/>
      <c r="N9" s="13"/>
      <c r="O9" s="13"/>
      <c r="P9" s="13"/>
      <c r="Q9" s="13"/>
      <c r="R9" s="13"/>
      <c r="S9" s="13"/>
      <c r="T9" s="13"/>
      <c r="U9" s="13"/>
      <c r="V9" s="13"/>
      <c r="W9" s="13"/>
      <c r="X9" s="13"/>
      <c r="Y9" s="13"/>
      <c r="Z9" s="13"/>
    </row>
    <row r="10">
      <c r="A10" s="13"/>
      <c r="B10" s="199" t="s">
        <v>185</v>
      </c>
      <c r="C10" s="13"/>
      <c r="D10" s="13"/>
      <c r="E10" s="13"/>
      <c r="F10" s="13"/>
      <c r="G10" s="13"/>
      <c r="H10" s="13"/>
      <c r="I10" s="13"/>
      <c r="J10" s="13"/>
      <c r="K10" s="13"/>
      <c r="L10" s="13"/>
      <c r="M10" s="13"/>
      <c r="N10" s="13"/>
      <c r="O10" s="13"/>
      <c r="P10" s="13"/>
      <c r="Q10" s="13"/>
      <c r="R10" s="13"/>
      <c r="S10" s="13"/>
      <c r="T10" s="13"/>
      <c r="U10" s="13"/>
      <c r="V10" s="13"/>
      <c r="W10" s="13"/>
      <c r="X10" s="13"/>
      <c r="Y10" s="13"/>
      <c r="Z10" s="13"/>
    </row>
    <row r="11">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ht="31.5" customHeight="1">
      <c r="A12" s="13"/>
      <c r="B12" s="208" t="s">
        <v>186</v>
      </c>
      <c r="C12" s="209" t="s">
        <v>187</v>
      </c>
      <c r="D12" s="209" t="s">
        <v>188</v>
      </c>
      <c r="E12" s="209" t="s">
        <v>189</v>
      </c>
      <c r="F12" s="209" t="s">
        <v>190</v>
      </c>
      <c r="G12" s="210" t="s">
        <v>191</v>
      </c>
      <c r="H12" s="211" t="s">
        <v>192</v>
      </c>
      <c r="I12" s="13"/>
      <c r="J12" s="13"/>
      <c r="K12" s="13"/>
      <c r="L12" s="13"/>
      <c r="M12" s="13"/>
      <c r="N12" s="13"/>
      <c r="O12" s="13"/>
      <c r="P12" s="13"/>
      <c r="Q12" s="13"/>
      <c r="R12" s="13"/>
      <c r="S12" s="13"/>
      <c r="T12" s="13"/>
      <c r="U12" s="13"/>
      <c r="V12" s="13"/>
      <c r="W12" s="13"/>
      <c r="X12" s="13"/>
      <c r="Y12" s="13"/>
      <c r="Z12" s="13"/>
    </row>
    <row r="13">
      <c r="A13" s="13">
        <v>1.0</v>
      </c>
      <c r="B13" s="76" t="s">
        <v>193</v>
      </c>
      <c r="C13" s="212">
        <f>ROUND('Assumptions (P1B)'!D9*'Assumptions (P1B)'!D16,0)</f>
        <v>68</v>
      </c>
      <c r="D13" s="212">
        <f>'Assumptions (P1B)'!D12</f>
        <v>650</v>
      </c>
      <c r="E13" s="213">
        <f>'Assumptions (P1B)'!D20-'Assumptions (P1B)'!D26</f>
        <v>887</v>
      </c>
      <c r="F13" s="213">
        <f>'Assumptions (P1B)'!D26</f>
        <v>59</v>
      </c>
      <c r="G13" s="214">
        <f t="shared" ref="G13:G37" si="1">E13+F13</f>
        <v>946</v>
      </c>
      <c r="H13" s="215">
        <f t="shared" ref="H13:H37" si="2">C13*G13*12</f>
        <v>771936</v>
      </c>
      <c r="I13" s="13"/>
      <c r="J13" s="13"/>
      <c r="K13" s="13"/>
      <c r="L13" s="13"/>
      <c r="M13" s="13"/>
      <c r="N13" s="13"/>
      <c r="O13" s="13"/>
      <c r="P13" s="13"/>
      <c r="Q13" s="13"/>
      <c r="R13" s="13"/>
      <c r="S13" s="13"/>
      <c r="T13" s="13"/>
      <c r="U13" s="13"/>
      <c r="V13" s="13"/>
      <c r="W13" s="13"/>
      <c r="X13" s="13"/>
      <c r="Y13" s="13"/>
      <c r="Z13" s="13"/>
    </row>
    <row r="14">
      <c r="A14" s="13">
        <v>2.0</v>
      </c>
      <c r="B14" s="216" t="s">
        <v>194</v>
      </c>
      <c r="C14" s="217">
        <f>'Assumptions (P1B)'!D9-'Income &amp; Expenses (P1B)'!C13-'Income &amp; Expenses (P1B)'!C15</f>
        <v>100</v>
      </c>
      <c r="D14" s="217">
        <f>'Assumptions (P1B)'!D12</f>
        <v>650</v>
      </c>
      <c r="E14" s="218">
        <f>'Assumptions (P1B)'!D22-'Assumptions (P1B)'!D26</f>
        <v>1580</v>
      </c>
      <c r="F14" s="218">
        <f>'Assumptions (P1B)'!D26</f>
        <v>59</v>
      </c>
      <c r="G14" s="219">
        <f t="shared" si="1"/>
        <v>1639</v>
      </c>
      <c r="H14" s="215">
        <f t="shared" si="2"/>
        <v>1966800</v>
      </c>
      <c r="I14" s="13"/>
      <c r="J14" s="13"/>
      <c r="K14" s="57"/>
      <c r="L14" s="13"/>
      <c r="M14" s="13"/>
      <c r="N14" s="13"/>
      <c r="O14" s="13"/>
      <c r="P14" s="13"/>
      <c r="Q14" s="13"/>
      <c r="R14" s="13"/>
      <c r="S14" s="13"/>
      <c r="T14" s="13"/>
      <c r="U14" s="13"/>
      <c r="V14" s="13"/>
      <c r="W14" s="13"/>
      <c r="X14" s="13"/>
      <c r="Y14" s="13"/>
      <c r="Z14" s="13"/>
    </row>
    <row r="15">
      <c r="A15" s="13">
        <v>3.0</v>
      </c>
      <c r="B15" s="216" t="s">
        <v>195</v>
      </c>
      <c r="C15" s="217">
        <f>'Assumptions (P1B)'!D8</f>
        <v>1</v>
      </c>
      <c r="D15" s="217">
        <f>'Assumptions (P1B)'!D13</f>
        <v>960</v>
      </c>
      <c r="E15" s="218">
        <f>'Assumptions (P1B)'!D23-'Assumptions (P1B)'!D27</f>
        <v>1828</v>
      </c>
      <c r="F15" s="218">
        <f>'Assumptions (P1B)'!D27</f>
        <v>75</v>
      </c>
      <c r="G15" s="219">
        <f t="shared" si="1"/>
        <v>1903</v>
      </c>
      <c r="H15" s="215">
        <f t="shared" si="2"/>
        <v>22836</v>
      </c>
      <c r="I15" s="13"/>
      <c r="J15" s="13"/>
      <c r="K15" s="57"/>
      <c r="L15" s="13"/>
      <c r="M15" s="13"/>
      <c r="N15" s="13"/>
      <c r="O15" s="13"/>
      <c r="P15" s="13"/>
      <c r="Q15" s="13"/>
      <c r="R15" s="13"/>
      <c r="S15" s="13"/>
      <c r="T15" s="13"/>
      <c r="U15" s="13"/>
      <c r="V15" s="13"/>
      <c r="W15" s="13"/>
      <c r="X15" s="13"/>
      <c r="Y15" s="13"/>
      <c r="Z15" s="13"/>
    </row>
    <row r="16" hidden="1">
      <c r="A16" s="13">
        <v>4.0</v>
      </c>
      <c r="B16" s="216" t="s">
        <v>196</v>
      </c>
      <c r="C16" s="217">
        <v>0.0</v>
      </c>
      <c r="D16" s="217">
        <v>0.0</v>
      </c>
      <c r="E16" s="218">
        <v>0.0</v>
      </c>
      <c r="F16" s="218">
        <v>0.0</v>
      </c>
      <c r="G16" s="219">
        <f t="shared" si="1"/>
        <v>0</v>
      </c>
      <c r="H16" s="215">
        <f t="shared" si="2"/>
        <v>0</v>
      </c>
      <c r="I16" s="13"/>
      <c r="J16" s="13"/>
      <c r="K16" s="13"/>
      <c r="L16" s="13"/>
      <c r="M16" s="13"/>
      <c r="N16" s="13"/>
      <c r="O16" s="13"/>
      <c r="P16" s="13"/>
      <c r="Q16" s="13"/>
      <c r="R16" s="13"/>
      <c r="S16" s="13"/>
      <c r="T16" s="13"/>
      <c r="U16" s="13"/>
      <c r="V16" s="13"/>
      <c r="W16" s="13"/>
      <c r="X16" s="13"/>
      <c r="Y16" s="13"/>
      <c r="Z16" s="13"/>
    </row>
    <row r="17" hidden="1">
      <c r="A17" s="13">
        <v>5.0</v>
      </c>
      <c r="B17" s="216" t="s">
        <v>197</v>
      </c>
      <c r="C17" s="217">
        <v>0.0</v>
      </c>
      <c r="D17" s="217">
        <v>0.0</v>
      </c>
      <c r="E17" s="218">
        <v>0.0</v>
      </c>
      <c r="F17" s="218">
        <v>0.0</v>
      </c>
      <c r="G17" s="219">
        <f t="shared" si="1"/>
        <v>0</v>
      </c>
      <c r="H17" s="215">
        <f t="shared" si="2"/>
        <v>0</v>
      </c>
      <c r="I17" s="13"/>
      <c r="J17" s="13"/>
      <c r="K17" s="13"/>
      <c r="L17" s="13"/>
      <c r="M17" s="13"/>
      <c r="N17" s="13"/>
      <c r="O17" s="13"/>
      <c r="P17" s="13"/>
      <c r="Q17" s="13"/>
      <c r="R17" s="13"/>
      <c r="S17" s="13"/>
      <c r="T17" s="13"/>
      <c r="U17" s="13"/>
      <c r="V17" s="13"/>
      <c r="W17" s="13"/>
      <c r="X17" s="13"/>
      <c r="Y17" s="13"/>
      <c r="Z17" s="13"/>
    </row>
    <row r="18" hidden="1">
      <c r="A18" s="13">
        <v>6.0</v>
      </c>
      <c r="B18" s="216" t="s">
        <v>198</v>
      </c>
      <c r="C18" s="217">
        <v>0.0</v>
      </c>
      <c r="D18" s="217">
        <v>0.0</v>
      </c>
      <c r="E18" s="218">
        <v>0.0</v>
      </c>
      <c r="F18" s="218">
        <v>0.0</v>
      </c>
      <c r="G18" s="219">
        <f t="shared" si="1"/>
        <v>0</v>
      </c>
      <c r="H18" s="215">
        <f t="shared" si="2"/>
        <v>0</v>
      </c>
      <c r="I18" s="13"/>
      <c r="J18" s="13"/>
      <c r="K18" s="13"/>
      <c r="L18" s="13"/>
      <c r="M18" s="13"/>
      <c r="N18" s="13"/>
      <c r="O18" s="13"/>
      <c r="P18" s="13"/>
      <c r="Q18" s="13"/>
      <c r="R18" s="13"/>
      <c r="S18" s="13"/>
      <c r="T18" s="13"/>
      <c r="U18" s="13"/>
      <c r="V18" s="13"/>
      <c r="W18" s="13"/>
      <c r="X18" s="13"/>
      <c r="Y18" s="13"/>
      <c r="Z18" s="13"/>
    </row>
    <row r="19" hidden="1">
      <c r="A19" s="13">
        <v>7.0</v>
      </c>
      <c r="B19" s="216" t="s">
        <v>199</v>
      </c>
      <c r="C19" s="217">
        <v>0.0</v>
      </c>
      <c r="D19" s="217">
        <v>0.0</v>
      </c>
      <c r="E19" s="218">
        <v>0.0</v>
      </c>
      <c r="F19" s="218">
        <v>0.0</v>
      </c>
      <c r="G19" s="219">
        <f t="shared" si="1"/>
        <v>0</v>
      </c>
      <c r="H19" s="215">
        <f t="shared" si="2"/>
        <v>0</v>
      </c>
      <c r="I19" s="13"/>
      <c r="J19" s="13"/>
      <c r="K19" s="13"/>
      <c r="L19" s="13"/>
      <c r="M19" s="13"/>
      <c r="N19" s="13"/>
      <c r="O19" s="13"/>
      <c r="P19" s="13"/>
      <c r="Q19" s="13"/>
      <c r="R19" s="13"/>
      <c r="S19" s="13"/>
      <c r="T19" s="13"/>
      <c r="U19" s="13"/>
      <c r="V19" s="13"/>
      <c r="W19" s="13"/>
      <c r="X19" s="13"/>
      <c r="Y19" s="13"/>
      <c r="Z19" s="13"/>
    </row>
    <row r="20" hidden="1">
      <c r="A20" s="13">
        <v>8.0</v>
      </c>
      <c r="B20" s="216" t="s">
        <v>200</v>
      </c>
      <c r="C20" s="217">
        <v>0.0</v>
      </c>
      <c r="D20" s="217">
        <v>0.0</v>
      </c>
      <c r="E20" s="218">
        <v>0.0</v>
      </c>
      <c r="F20" s="218">
        <v>0.0</v>
      </c>
      <c r="G20" s="219">
        <f t="shared" si="1"/>
        <v>0</v>
      </c>
      <c r="H20" s="215">
        <f t="shared" si="2"/>
        <v>0</v>
      </c>
      <c r="I20" s="13"/>
      <c r="J20" s="13"/>
      <c r="K20" s="13"/>
      <c r="L20" s="13"/>
      <c r="M20" s="13"/>
      <c r="N20" s="13"/>
      <c r="O20" s="13"/>
      <c r="P20" s="13"/>
      <c r="Q20" s="13"/>
      <c r="R20" s="13"/>
      <c r="S20" s="13"/>
      <c r="T20" s="13"/>
      <c r="U20" s="13"/>
      <c r="V20" s="13"/>
      <c r="W20" s="13"/>
      <c r="X20" s="13"/>
      <c r="Y20" s="13"/>
      <c r="Z20" s="13"/>
    </row>
    <row r="21" ht="15.75" hidden="1" customHeight="1">
      <c r="A21" s="13">
        <v>9.0</v>
      </c>
      <c r="B21" s="216" t="s">
        <v>201</v>
      </c>
      <c r="C21" s="217">
        <v>0.0</v>
      </c>
      <c r="D21" s="220">
        <v>0.0</v>
      </c>
      <c r="E21" s="221">
        <v>0.0</v>
      </c>
      <c r="F21" s="221">
        <v>0.0</v>
      </c>
      <c r="G21" s="222">
        <f t="shared" si="1"/>
        <v>0</v>
      </c>
      <c r="H21" s="215">
        <f t="shared" si="2"/>
        <v>0</v>
      </c>
      <c r="I21" s="13"/>
      <c r="J21" s="13"/>
      <c r="K21" s="13"/>
      <c r="L21" s="13"/>
      <c r="M21" s="13"/>
      <c r="N21" s="13"/>
      <c r="O21" s="13"/>
      <c r="P21" s="13"/>
      <c r="Q21" s="13"/>
      <c r="R21" s="13"/>
      <c r="S21" s="13"/>
      <c r="T21" s="13"/>
      <c r="U21" s="13"/>
      <c r="V21" s="13"/>
      <c r="W21" s="13"/>
      <c r="X21" s="13"/>
      <c r="Y21" s="13"/>
      <c r="Z21" s="13"/>
    </row>
    <row r="22" ht="15.75" hidden="1" customHeight="1">
      <c r="A22" s="13">
        <v>10.0</v>
      </c>
      <c r="B22" s="216" t="s">
        <v>202</v>
      </c>
      <c r="C22" s="217">
        <v>0.0</v>
      </c>
      <c r="D22" s="217"/>
      <c r="E22" s="218">
        <v>0.0</v>
      </c>
      <c r="F22" s="218">
        <v>0.0</v>
      </c>
      <c r="G22" s="219">
        <f t="shared" si="1"/>
        <v>0</v>
      </c>
      <c r="H22" s="215">
        <f t="shared" si="2"/>
        <v>0</v>
      </c>
      <c r="I22" s="13"/>
      <c r="J22" s="13"/>
      <c r="K22" s="13"/>
      <c r="L22" s="13"/>
      <c r="M22" s="13"/>
      <c r="N22" s="13"/>
      <c r="O22" s="13"/>
      <c r="P22" s="13"/>
      <c r="Q22" s="13"/>
      <c r="R22" s="13"/>
      <c r="S22" s="13"/>
      <c r="T22" s="13"/>
      <c r="U22" s="13"/>
      <c r="V22" s="13"/>
      <c r="W22" s="13"/>
      <c r="X22" s="13"/>
      <c r="Y22" s="13"/>
      <c r="Z22" s="13"/>
    </row>
    <row r="23" ht="15.75" hidden="1" customHeight="1">
      <c r="A23" s="13">
        <v>11.0</v>
      </c>
      <c r="B23" s="216" t="s">
        <v>203</v>
      </c>
      <c r="C23" s="217">
        <v>0.0</v>
      </c>
      <c r="D23" s="217"/>
      <c r="E23" s="217">
        <v>0.0</v>
      </c>
      <c r="F23" s="217">
        <v>0.0</v>
      </c>
      <c r="G23" s="162">
        <f t="shared" si="1"/>
        <v>0</v>
      </c>
      <c r="H23" s="223">
        <f t="shared" si="2"/>
        <v>0</v>
      </c>
      <c r="I23" s="13"/>
      <c r="J23" s="13"/>
      <c r="K23" s="13"/>
      <c r="L23" s="13"/>
      <c r="M23" s="13"/>
      <c r="N23" s="13"/>
      <c r="O23" s="13"/>
      <c r="P23" s="13"/>
      <c r="Q23" s="13"/>
      <c r="R23" s="13"/>
      <c r="S23" s="13"/>
      <c r="T23" s="13"/>
      <c r="U23" s="13"/>
      <c r="V23" s="13"/>
      <c r="W23" s="13"/>
      <c r="X23" s="13"/>
      <c r="Y23" s="13"/>
      <c r="Z23" s="13"/>
    </row>
    <row r="24" ht="15.75" hidden="1" customHeight="1">
      <c r="A24" s="13">
        <v>12.0</v>
      </c>
      <c r="B24" s="216" t="s">
        <v>204</v>
      </c>
      <c r="C24" s="217">
        <v>0.0</v>
      </c>
      <c r="D24" s="217"/>
      <c r="E24" s="217">
        <v>0.0</v>
      </c>
      <c r="F24" s="217">
        <v>0.0</v>
      </c>
      <c r="G24" s="162">
        <f t="shared" si="1"/>
        <v>0</v>
      </c>
      <c r="H24" s="223">
        <f t="shared" si="2"/>
        <v>0</v>
      </c>
      <c r="I24" s="13"/>
      <c r="J24" s="13"/>
      <c r="K24" s="13"/>
      <c r="L24" s="13"/>
      <c r="M24" s="13"/>
      <c r="N24" s="13"/>
      <c r="O24" s="13"/>
      <c r="P24" s="13"/>
      <c r="Q24" s="13"/>
      <c r="R24" s="13"/>
      <c r="S24" s="13"/>
      <c r="T24" s="13"/>
      <c r="U24" s="13"/>
      <c r="V24" s="13"/>
      <c r="W24" s="13"/>
      <c r="X24" s="13"/>
      <c r="Y24" s="13"/>
      <c r="Z24" s="13"/>
    </row>
    <row r="25" ht="15.75" hidden="1" customHeight="1">
      <c r="A25" s="13">
        <v>13.0</v>
      </c>
      <c r="B25" s="216" t="s">
        <v>205</v>
      </c>
      <c r="C25" s="217">
        <v>0.0</v>
      </c>
      <c r="D25" s="217"/>
      <c r="E25" s="217">
        <v>0.0</v>
      </c>
      <c r="F25" s="217">
        <v>0.0</v>
      </c>
      <c r="G25" s="162">
        <f t="shared" si="1"/>
        <v>0</v>
      </c>
      <c r="H25" s="223">
        <f t="shared" si="2"/>
        <v>0</v>
      </c>
      <c r="I25" s="13"/>
      <c r="J25" s="13"/>
      <c r="K25" s="13"/>
      <c r="L25" s="13"/>
      <c r="M25" s="13"/>
      <c r="N25" s="13"/>
      <c r="O25" s="13"/>
      <c r="P25" s="13"/>
      <c r="Q25" s="13"/>
      <c r="R25" s="13"/>
      <c r="S25" s="13"/>
      <c r="T25" s="13"/>
      <c r="U25" s="13"/>
      <c r="V25" s="13"/>
      <c r="W25" s="13"/>
      <c r="X25" s="13"/>
      <c r="Y25" s="13"/>
      <c r="Z25" s="13"/>
    </row>
    <row r="26" ht="15.75" hidden="1" customHeight="1">
      <c r="A26" s="13">
        <v>14.0</v>
      </c>
      <c r="B26" s="216" t="s">
        <v>206</v>
      </c>
      <c r="C26" s="217">
        <v>0.0</v>
      </c>
      <c r="D26" s="217"/>
      <c r="E26" s="217">
        <v>0.0</v>
      </c>
      <c r="F26" s="217">
        <v>0.0</v>
      </c>
      <c r="G26" s="162">
        <f t="shared" si="1"/>
        <v>0</v>
      </c>
      <c r="H26" s="223">
        <f t="shared" si="2"/>
        <v>0</v>
      </c>
      <c r="I26" s="13"/>
      <c r="J26" s="13"/>
      <c r="K26" s="13"/>
      <c r="L26" s="13"/>
      <c r="M26" s="13"/>
      <c r="N26" s="13"/>
      <c r="O26" s="13"/>
      <c r="P26" s="13"/>
      <c r="Q26" s="13"/>
      <c r="R26" s="13"/>
      <c r="S26" s="13"/>
      <c r="T26" s="13"/>
      <c r="U26" s="13"/>
      <c r="V26" s="13"/>
      <c r="W26" s="13"/>
      <c r="X26" s="13"/>
      <c r="Y26" s="13"/>
      <c r="Z26" s="13"/>
    </row>
    <row r="27" ht="15.75" hidden="1" customHeight="1">
      <c r="A27" s="13">
        <v>15.0</v>
      </c>
      <c r="B27" s="216" t="s">
        <v>207</v>
      </c>
      <c r="C27" s="217">
        <v>0.0</v>
      </c>
      <c r="D27" s="217"/>
      <c r="E27" s="217">
        <v>0.0</v>
      </c>
      <c r="F27" s="217">
        <v>0.0</v>
      </c>
      <c r="G27" s="162">
        <f t="shared" si="1"/>
        <v>0</v>
      </c>
      <c r="H27" s="223">
        <f t="shared" si="2"/>
        <v>0</v>
      </c>
      <c r="I27" s="13"/>
      <c r="J27" s="13"/>
      <c r="K27" s="13"/>
      <c r="L27" s="13"/>
      <c r="M27" s="13"/>
      <c r="N27" s="13"/>
      <c r="O27" s="13"/>
      <c r="P27" s="13"/>
      <c r="Q27" s="13"/>
      <c r="R27" s="13"/>
      <c r="S27" s="13"/>
      <c r="T27" s="13"/>
      <c r="U27" s="13"/>
      <c r="V27" s="13"/>
      <c r="W27" s="13"/>
      <c r="X27" s="13"/>
      <c r="Y27" s="13"/>
      <c r="Z27" s="13"/>
    </row>
    <row r="28" ht="15.75" hidden="1" customHeight="1">
      <c r="A28" s="13">
        <v>16.0</v>
      </c>
      <c r="B28" s="216" t="s">
        <v>208</v>
      </c>
      <c r="C28" s="217">
        <v>0.0</v>
      </c>
      <c r="D28" s="217"/>
      <c r="E28" s="217">
        <v>0.0</v>
      </c>
      <c r="F28" s="217">
        <v>0.0</v>
      </c>
      <c r="G28" s="162">
        <f t="shared" si="1"/>
        <v>0</v>
      </c>
      <c r="H28" s="223">
        <f t="shared" si="2"/>
        <v>0</v>
      </c>
      <c r="I28" s="13"/>
      <c r="J28" s="13"/>
      <c r="K28" s="13"/>
      <c r="L28" s="13"/>
      <c r="M28" s="13"/>
      <c r="N28" s="13"/>
      <c r="O28" s="13"/>
      <c r="P28" s="13"/>
      <c r="Q28" s="13"/>
      <c r="R28" s="13"/>
      <c r="S28" s="13"/>
      <c r="T28" s="13"/>
      <c r="U28" s="13"/>
      <c r="V28" s="13"/>
      <c r="W28" s="13"/>
      <c r="X28" s="13"/>
      <c r="Y28" s="13"/>
      <c r="Z28" s="13"/>
    </row>
    <row r="29" ht="15.75" hidden="1" customHeight="1">
      <c r="A29" s="13">
        <v>17.0</v>
      </c>
      <c r="B29" s="216" t="s">
        <v>209</v>
      </c>
      <c r="C29" s="217">
        <v>0.0</v>
      </c>
      <c r="D29" s="217"/>
      <c r="E29" s="217">
        <v>0.0</v>
      </c>
      <c r="F29" s="217">
        <v>0.0</v>
      </c>
      <c r="G29" s="162">
        <f t="shared" si="1"/>
        <v>0</v>
      </c>
      <c r="H29" s="223">
        <f t="shared" si="2"/>
        <v>0</v>
      </c>
      <c r="I29" s="13"/>
      <c r="J29" s="13"/>
      <c r="K29" s="13"/>
      <c r="L29" s="13"/>
      <c r="M29" s="13"/>
      <c r="N29" s="13"/>
      <c r="O29" s="13"/>
      <c r="P29" s="13"/>
      <c r="Q29" s="13"/>
      <c r="R29" s="13"/>
      <c r="S29" s="13"/>
      <c r="T29" s="13"/>
      <c r="U29" s="13"/>
      <c r="V29" s="13"/>
      <c r="W29" s="13"/>
      <c r="X29" s="13"/>
      <c r="Y29" s="13"/>
      <c r="Z29" s="13"/>
    </row>
    <row r="30" ht="15.75" hidden="1" customHeight="1">
      <c r="A30" s="13">
        <v>18.0</v>
      </c>
      <c r="B30" s="216" t="s">
        <v>210</v>
      </c>
      <c r="C30" s="217">
        <v>0.0</v>
      </c>
      <c r="D30" s="217"/>
      <c r="E30" s="217">
        <v>0.0</v>
      </c>
      <c r="F30" s="217">
        <v>0.0</v>
      </c>
      <c r="G30" s="162">
        <f t="shared" si="1"/>
        <v>0</v>
      </c>
      <c r="H30" s="223">
        <f t="shared" si="2"/>
        <v>0</v>
      </c>
      <c r="I30" s="13"/>
      <c r="J30" s="13"/>
      <c r="K30" s="13"/>
      <c r="L30" s="13"/>
      <c r="M30" s="13"/>
      <c r="N30" s="13"/>
      <c r="O30" s="13"/>
      <c r="P30" s="13"/>
      <c r="Q30" s="13"/>
      <c r="R30" s="13"/>
      <c r="S30" s="13"/>
      <c r="T30" s="13"/>
      <c r="U30" s="13"/>
      <c r="V30" s="13"/>
      <c r="W30" s="13"/>
      <c r="X30" s="13"/>
      <c r="Y30" s="13"/>
      <c r="Z30" s="13"/>
    </row>
    <row r="31" ht="15.75" hidden="1" customHeight="1">
      <c r="A31" s="13">
        <v>19.0</v>
      </c>
      <c r="B31" s="216" t="s">
        <v>211</v>
      </c>
      <c r="C31" s="217">
        <v>0.0</v>
      </c>
      <c r="D31" s="217"/>
      <c r="E31" s="217">
        <v>0.0</v>
      </c>
      <c r="F31" s="217">
        <v>0.0</v>
      </c>
      <c r="G31" s="162">
        <f t="shared" si="1"/>
        <v>0</v>
      </c>
      <c r="H31" s="223">
        <f t="shared" si="2"/>
        <v>0</v>
      </c>
      <c r="I31" s="13"/>
      <c r="J31" s="13"/>
      <c r="K31" s="13"/>
      <c r="L31" s="13"/>
      <c r="M31" s="13"/>
      <c r="N31" s="13"/>
      <c r="O31" s="13"/>
      <c r="P31" s="13"/>
      <c r="Q31" s="13"/>
      <c r="R31" s="13"/>
      <c r="S31" s="13"/>
      <c r="T31" s="13"/>
      <c r="U31" s="13"/>
      <c r="V31" s="13"/>
      <c r="W31" s="13"/>
      <c r="X31" s="13"/>
      <c r="Y31" s="13"/>
      <c r="Z31" s="13"/>
    </row>
    <row r="32" ht="15.75" hidden="1" customHeight="1">
      <c r="A32" s="13">
        <v>20.0</v>
      </c>
      <c r="B32" s="216" t="s">
        <v>212</v>
      </c>
      <c r="C32" s="217">
        <v>0.0</v>
      </c>
      <c r="D32" s="217"/>
      <c r="E32" s="217">
        <v>0.0</v>
      </c>
      <c r="F32" s="217">
        <v>0.0</v>
      </c>
      <c r="G32" s="162">
        <f t="shared" si="1"/>
        <v>0</v>
      </c>
      <c r="H32" s="223">
        <f t="shared" si="2"/>
        <v>0</v>
      </c>
      <c r="I32" s="13"/>
      <c r="J32" s="13"/>
      <c r="K32" s="13"/>
      <c r="L32" s="13"/>
      <c r="M32" s="13"/>
      <c r="N32" s="13"/>
      <c r="O32" s="13"/>
      <c r="P32" s="13"/>
      <c r="Q32" s="13"/>
      <c r="R32" s="13"/>
      <c r="S32" s="13"/>
      <c r="T32" s="13"/>
      <c r="U32" s="13"/>
      <c r="V32" s="13"/>
      <c r="W32" s="13"/>
      <c r="X32" s="13"/>
      <c r="Y32" s="13"/>
      <c r="Z32" s="13"/>
    </row>
    <row r="33" ht="15.75" hidden="1" customHeight="1">
      <c r="A33" s="13">
        <v>21.0</v>
      </c>
      <c r="B33" s="216" t="s">
        <v>213</v>
      </c>
      <c r="C33" s="217">
        <v>0.0</v>
      </c>
      <c r="D33" s="217"/>
      <c r="E33" s="217">
        <v>0.0</v>
      </c>
      <c r="F33" s="217">
        <v>0.0</v>
      </c>
      <c r="G33" s="162">
        <f t="shared" si="1"/>
        <v>0</v>
      </c>
      <c r="H33" s="223">
        <f t="shared" si="2"/>
        <v>0</v>
      </c>
      <c r="I33" s="13"/>
      <c r="J33" s="13"/>
      <c r="K33" s="13"/>
      <c r="L33" s="13"/>
      <c r="M33" s="13"/>
      <c r="N33" s="13"/>
      <c r="O33" s="13"/>
      <c r="P33" s="13"/>
      <c r="Q33" s="13"/>
      <c r="R33" s="13"/>
      <c r="S33" s="13"/>
      <c r="T33" s="13"/>
      <c r="U33" s="13"/>
      <c r="V33" s="13"/>
      <c r="W33" s="13"/>
      <c r="X33" s="13"/>
      <c r="Y33" s="13"/>
      <c r="Z33" s="13"/>
    </row>
    <row r="34" ht="15.75" hidden="1" customHeight="1">
      <c r="A34" s="13">
        <v>22.0</v>
      </c>
      <c r="B34" s="216" t="s">
        <v>214</v>
      </c>
      <c r="C34" s="217">
        <v>0.0</v>
      </c>
      <c r="D34" s="217"/>
      <c r="E34" s="217">
        <v>0.0</v>
      </c>
      <c r="F34" s="217">
        <v>0.0</v>
      </c>
      <c r="G34" s="162">
        <f t="shared" si="1"/>
        <v>0</v>
      </c>
      <c r="H34" s="223">
        <f t="shared" si="2"/>
        <v>0</v>
      </c>
      <c r="I34" s="13"/>
      <c r="J34" s="13"/>
      <c r="K34" s="13"/>
      <c r="L34" s="13"/>
      <c r="M34" s="13"/>
      <c r="N34" s="13"/>
      <c r="O34" s="13"/>
      <c r="P34" s="13"/>
      <c r="Q34" s="13"/>
      <c r="R34" s="13"/>
      <c r="S34" s="13"/>
      <c r="T34" s="13"/>
      <c r="U34" s="13"/>
      <c r="V34" s="13"/>
      <c r="W34" s="13"/>
      <c r="X34" s="13"/>
      <c r="Y34" s="13"/>
      <c r="Z34" s="13"/>
    </row>
    <row r="35" ht="15.75" hidden="1" customHeight="1">
      <c r="A35" s="13">
        <v>23.0</v>
      </c>
      <c r="B35" s="216" t="s">
        <v>215</v>
      </c>
      <c r="C35" s="217">
        <v>0.0</v>
      </c>
      <c r="D35" s="217"/>
      <c r="E35" s="217">
        <v>0.0</v>
      </c>
      <c r="F35" s="217">
        <v>0.0</v>
      </c>
      <c r="G35" s="162">
        <f t="shared" si="1"/>
        <v>0</v>
      </c>
      <c r="H35" s="223">
        <f t="shared" si="2"/>
        <v>0</v>
      </c>
      <c r="I35" s="13"/>
      <c r="J35" s="13"/>
      <c r="K35" s="13"/>
      <c r="L35" s="13"/>
      <c r="M35" s="13"/>
      <c r="N35" s="13"/>
      <c r="O35" s="13"/>
      <c r="P35" s="13"/>
      <c r="Q35" s="13"/>
      <c r="R35" s="13"/>
      <c r="S35" s="13"/>
      <c r="T35" s="13"/>
      <c r="U35" s="13"/>
      <c r="V35" s="13"/>
      <c r="W35" s="13"/>
      <c r="X35" s="13"/>
      <c r="Y35" s="13"/>
      <c r="Z35" s="13"/>
    </row>
    <row r="36" ht="15.75" hidden="1" customHeight="1">
      <c r="A36" s="13">
        <v>24.0</v>
      </c>
      <c r="B36" s="216" t="s">
        <v>216</v>
      </c>
      <c r="C36" s="217">
        <v>0.0</v>
      </c>
      <c r="D36" s="217"/>
      <c r="E36" s="217">
        <v>0.0</v>
      </c>
      <c r="F36" s="217">
        <v>0.0</v>
      </c>
      <c r="G36" s="162">
        <f t="shared" si="1"/>
        <v>0</v>
      </c>
      <c r="H36" s="223">
        <f t="shared" si="2"/>
        <v>0</v>
      </c>
      <c r="I36" s="13"/>
      <c r="J36" s="13"/>
      <c r="K36" s="13"/>
      <c r="L36" s="13"/>
      <c r="M36" s="13"/>
      <c r="N36" s="13"/>
      <c r="O36" s="13"/>
      <c r="P36" s="13"/>
      <c r="Q36" s="13"/>
      <c r="R36" s="13"/>
      <c r="S36" s="13"/>
      <c r="T36" s="13"/>
      <c r="U36" s="13"/>
      <c r="V36" s="13"/>
      <c r="W36" s="13"/>
      <c r="X36" s="13"/>
      <c r="Y36" s="13"/>
      <c r="Z36" s="13"/>
    </row>
    <row r="37" ht="15.75" hidden="1" customHeight="1">
      <c r="A37" s="13">
        <v>25.0</v>
      </c>
      <c r="B37" s="216" t="s">
        <v>217</v>
      </c>
      <c r="C37" s="220">
        <v>0.0</v>
      </c>
      <c r="D37" s="220"/>
      <c r="E37" s="220">
        <v>0.0</v>
      </c>
      <c r="F37" s="220">
        <v>0.0</v>
      </c>
      <c r="G37" s="224">
        <f t="shared" si="1"/>
        <v>0</v>
      </c>
      <c r="H37" s="223">
        <f t="shared" si="2"/>
        <v>0</v>
      </c>
      <c r="I37" s="13"/>
      <c r="J37" s="13"/>
      <c r="K37" s="13"/>
      <c r="L37" s="13"/>
      <c r="M37" s="13"/>
      <c r="N37" s="13"/>
      <c r="O37" s="13"/>
      <c r="P37" s="13"/>
      <c r="Q37" s="13"/>
      <c r="R37" s="13"/>
      <c r="S37" s="13"/>
      <c r="T37" s="13"/>
      <c r="U37" s="13"/>
      <c r="V37" s="13"/>
      <c r="W37" s="13"/>
      <c r="X37" s="13"/>
      <c r="Y37" s="13"/>
      <c r="Z37" s="13"/>
    </row>
    <row r="38" ht="15.75" customHeight="1">
      <c r="A38" s="13"/>
      <c r="B38" s="225" t="s">
        <v>218</v>
      </c>
      <c r="C38" s="226">
        <f>SUM(C13:C37)</f>
        <v>169</v>
      </c>
      <c r="D38" s="227"/>
      <c r="E38" s="227"/>
      <c r="F38" s="227"/>
      <c r="G38" s="228" t="s">
        <v>219</v>
      </c>
      <c r="H38" s="229">
        <f>SUM(H13:H37)</f>
        <v>2761572</v>
      </c>
      <c r="I38" s="13"/>
      <c r="J38" s="13"/>
      <c r="K38" s="13"/>
      <c r="L38" s="13"/>
      <c r="M38" s="13"/>
      <c r="N38" s="13"/>
      <c r="O38" s="13"/>
      <c r="P38" s="13"/>
      <c r="Q38" s="13"/>
      <c r="R38" s="13"/>
      <c r="S38" s="13"/>
      <c r="T38" s="13"/>
      <c r="U38" s="13"/>
      <c r="V38" s="13"/>
      <c r="W38" s="13"/>
      <c r="X38" s="13"/>
      <c r="Y38" s="13"/>
      <c r="Z38" s="13"/>
    </row>
    <row r="39" ht="15.75" customHeight="1">
      <c r="A39" s="13"/>
      <c r="B39" s="230"/>
      <c r="C39" s="95" t="s">
        <v>220</v>
      </c>
      <c r="D39" s="13"/>
      <c r="E39" s="13"/>
      <c r="F39" s="13"/>
      <c r="G39" s="13"/>
      <c r="H39" s="13"/>
      <c r="I39" s="13"/>
      <c r="J39" s="13"/>
      <c r="K39" s="13"/>
      <c r="L39" s="13"/>
      <c r="M39" s="13"/>
      <c r="N39" s="13"/>
      <c r="O39" s="13"/>
      <c r="P39" s="13"/>
      <c r="Q39" s="13"/>
      <c r="R39" s="13"/>
      <c r="S39" s="13"/>
      <c r="T39" s="13"/>
      <c r="U39" s="13"/>
      <c r="V39" s="13"/>
      <c r="W39" s="13"/>
      <c r="X39" s="13"/>
      <c r="Y39" s="13"/>
      <c r="Z39" s="13"/>
    </row>
    <row r="40" ht="15.75" customHeight="1">
      <c r="A40" s="13"/>
      <c r="B40" s="231" t="s">
        <v>221</v>
      </c>
      <c r="C40" s="13"/>
      <c r="D40" s="13"/>
      <c r="E40" s="13"/>
      <c r="F40" s="13"/>
      <c r="G40" s="13"/>
      <c r="H40" s="13"/>
      <c r="I40" s="13"/>
      <c r="J40" s="13"/>
      <c r="K40" s="13"/>
      <c r="L40" s="13"/>
      <c r="M40" s="13"/>
      <c r="N40" s="13"/>
      <c r="O40" s="13"/>
      <c r="P40" s="13"/>
      <c r="Q40" s="13"/>
      <c r="R40" s="13"/>
      <c r="S40" s="13"/>
      <c r="T40" s="13"/>
      <c r="U40" s="13"/>
      <c r="V40" s="13"/>
      <c r="W40" s="13"/>
      <c r="X40" s="13"/>
      <c r="Y40" s="13"/>
      <c r="Z40" s="13"/>
    </row>
    <row r="41" ht="15.75" customHeight="1">
      <c r="A41" s="13"/>
      <c r="B41" s="230"/>
      <c r="C41" s="13"/>
      <c r="D41" s="13"/>
      <c r="E41" s="13"/>
      <c r="F41" s="13"/>
      <c r="G41" s="13"/>
      <c r="H41" s="13"/>
      <c r="I41" s="13"/>
      <c r="J41" s="13"/>
      <c r="K41" s="13"/>
      <c r="L41" s="13"/>
      <c r="M41" s="13"/>
      <c r="N41" s="13"/>
      <c r="O41" s="13"/>
      <c r="P41" s="13"/>
      <c r="Q41" s="13"/>
      <c r="R41" s="13"/>
      <c r="S41" s="13"/>
      <c r="T41" s="13"/>
      <c r="U41" s="13"/>
      <c r="V41" s="13"/>
      <c r="W41" s="13"/>
      <c r="X41" s="13"/>
      <c r="Y41" s="13"/>
      <c r="Z41" s="13"/>
    </row>
    <row r="42" ht="15.75" customHeight="1">
      <c r="A42" s="13"/>
      <c r="B42" s="208" t="s">
        <v>222</v>
      </c>
      <c r="C42" s="209" t="s">
        <v>223</v>
      </c>
      <c r="D42" s="209" t="s">
        <v>224</v>
      </c>
      <c r="E42" s="209" t="s">
        <v>225</v>
      </c>
      <c r="F42" s="209" t="s">
        <v>226</v>
      </c>
      <c r="G42" s="13"/>
      <c r="H42" s="13"/>
      <c r="I42" s="13"/>
      <c r="J42" s="13"/>
      <c r="K42" s="13"/>
      <c r="L42" s="13"/>
      <c r="M42" s="13"/>
      <c r="N42" s="13"/>
      <c r="O42" s="13"/>
      <c r="P42" s="13"/>
      <c r="Q42" s="13"/>
      <c r="R42" s="13"/>
      <c r="S42" s="13"/>
      <c r="T42" s="13"/>
      <c r="U42" s="13"/>
      <c r="V42" s="13"/>
      <c r="W42" s="13"/>
      <c r="X42" s="13"/>
      <c r="Y42" s="13"/>
      <c r="Z42" s="13"/>
    </row>
    <row r="43" ht="15.75" customHeight="1">
      <c r="A43" s="13">
        <v>1.0</v>
      </c>
      <c r="B43" s="76" t="s">
        <v>227</v>
      </c>
      <c r="C43" s="212">
        <f>unit</f>
        <v>169</v>
      </c>
      <c r="D43" s="154">
        <f>'Assumptions (P1B)'!D33</f>
        <v>5</v>
      </c>
      <c r="E43" s="232">
        <f t="shared" ref="E43:E47" si="3">C43*D43</f>
        <v>845</v>
      </c>
      <c r="F43" s="232">
        <f t="shared" ref="F43:F47" si="4">E43*12</f>
        <v>10140</v>
      </c>
      <c r="G43" s="13"/>
      <c r="H43" s="13"/>
      <c r="I43" s="13"/>
      <c r="J43" s="13"/>
      <c r="K43" s="13"/>
      <c r="L43" s="13"/>
      <c r="M43" s="13"/>
      <c r="N43" s="13"/>
      <c r="O43" s="13"/>
      <c r="P43" s="13"/>
      <c r="Q43" s="13"/>
      <c r="R43" s="13"/>
      <c r="S43" s="13"/>
      <c r="T43" s="13"/>
      <c r="U43" s="13"/>
      <c r="V43" s="13"/>
      <c r="W43" s="13"/>
      <c r="X43" s="13"/>
      <c r="Y43" s="13"/>
      <c r="Z43" s="13"/>
    </row>
    <row r="44" ht="15.75" customHeight="1">
      <c r="A44" s="13">
        <v>2.0</v>
      </c>
      <c r="B44" s="233"/>
      <c r="C44" s="217"/>
      <c r="D44" s="113">
        <v>0.0</v>
      </c>
      <c r="E44" s="136">
        <f t="shared" si="3"/>
        <v>0</v>
      </c>
      <c r="F44" s="136">
        <f t="shared" si="4"/>
        <v>0</v>
      </c>
      <c r="G44" s="13"/>
      <c r="H44" s="13"/>
      <c r="I44" s="13"/>
      <c r="J44" s="13"/>
      <c r="K44" s="13"/>
      <c r="L44" s="13"/>
      <c r="M44" s="13"/>
      <c r="N44" s="13"/>
      <c r="O44" s="13"/>
      <c r="P44" s="13"/>
      <c r="Q44" s="13"/>
      <c r="R44" s="13"/>
      <c r="S44" s="13"/>
      <c r="T44" s="13"/>
      <c r="U44" s="13"/>
      <c r="V44" s="13"/>
      <c r="W44" s="13"/>
      <c r="X44" s="13"/>
      <c r="Y44" s="13"/>
      <c r="Z44" s="13"/>
    </row>
    <row r="45" ht="15.75" hidden="1" customHeight="1">
      <c r="A45" s="13">
        <v>3.0</v>
      </c>
      <c r="B45" s="234" t="s">
        <v>228</v>
      </c>
      <c r="C45" s="217"/>
      <c r="D45" s="113"/>
      <c r="E45" s="136">
        <f t="shared" si="3"/>
        <v>0</v>
      </c>
      <c r="F45" s="136">
        <f t="shared" si="4"/>
        <v>0</v>
      </c>
      <c r="G45" s="13"/>
      <c r="H45" s="13"/>
      <c r="I45" s="13"/>
      <c r="J45" s="13"/>
      <c r="K45" s="13"/>
      <c r="L45" s="13"/>
      <c r="M45" s="13"/>
      <c r="N45" s="13"/>
      <c r="O45" s="13"/>
      <c r="P45" s="13"/>
      <c r="Q45" s="13"/>
      <c r="R45" s="13"/>
      <c r="S45" s="13"/>
      <c r="T45" s="13"/>
      <c r="U45" s="13"/>
      <c r="V45" s="13"/>
      <c r="W45" s="13"/>
      <c r="X45" s="13"/>
      <c r="Y45" s="13"/>
      <c r="Z45" s="13"/>
    </row>
    <row r="46" ht="15.75" hidden="1" customHeight="1">
      <c r="A46" s="13">
        <v>4.0</v>
      </c>
      <c r="B46" s="233" t="s">
        <v>229</v>
      </c>
      <c r="C46" s="217"/>
      <c r="D46" s="113"/>
      <c r="E46" s="136">
        <f t="shared" si="3"/>
        <v>0</v>
      </c>
      <c r="F46" s="136">
        <f t="shared" si="4"/>
        <v>0</v>
      </c>
      <c r="G46" s="13"/>
      <c r="H46" s="13"/>
      <c r="I46" s="13"/>
      <c r="J46" s="13"/>
      <c r="K46" s="13"/>
      <c r="L46" s="13"/>
      <c r="M46" s="13"/>
      <c r="N46" s="13"/>
      <c r="O46" s="13"/>
      <c r="P46" s="13"/>
      <c r="Q46" s="13"/>
      <c r="R46" s="13"/>
      <c r="S46" s="13"/>
      <c r="T46" s="13"/>
      <c r="U46" s="13"/>
      <c r="V46" s="13"/>
      <c r="W46" s="13"/>
      <c r="X46" s="13"/>
      <c r="Y46" s="13"/>
      <c r="Z46" s="13"/>
    </row>
    <row r="47" ht="15.75" hidden="1" customHeight="1">
      <c r="A47" s="13">
        <v>5.0</v>
      </c>
      <c r="B47" s="235" t="s">
        <v>230</v>
      </c>
      <c r="C47" s="236"/>
      <c r="D47" s="237"/>
      <c r="E47" s="238">
        <f t="shared" si="3"/>
        <v>0</v>
      </c>
      <c r="F47" s="238">
        <f t="shared" si="4"/>
        <v>0</v>
      </c>
      <c r="G47" s="13"/>
      <c r="H47" s="13"/>
      <c r="I47" s="13"/>
      <c r="J47" s="13"/>
      <c r="K47" s="13"/>
      <c r="L47" s="13"/>
      <c r="M47" s="13"/>
      <c r="N47" s="13"/>
      <c r="O47" s="13"/>
      <c r="P47" s="13"/>
      <c r="Q47" s="13"/>
      <c r="R47" s="13"/>
      <c r="S47" s="13"/>
      <c r="T47" s="13"/>
      <c r="U47" s="13"/>
      <c r="V47" s="13"/>
      <c r="W47" s="13"/>
      <c r="X47" s="13"/>
      <c r="Y47" s="13"/>
      <c r="Z47" s="13"/>
    </row>
    <row r="48" ht="15.75" customHeight="1">
      <c r="A48" s="13"/>
      <c r="B48" s="230"/>
      <c r="C48" s="13"/>
      <c r="D48" s="13"/>
      <c r="E48" s="90" t="s">
        <v>231</v>
      </c>
      <c r="F48" s="75">
        <f>SUM(F43:F47)</f>
        <v>10140</v>
      </c>
      <c r="G48" s="13"/>
      <c r="H48" s="13"/>
      <c r="I48" s="13"/>
      <c r="J48" s="13"/>
      <c r="K48" s="13"/>
      <c r="L48" s="13"/>
      <c r="M48" s="13"/>
      <c r="N48" s="13"/>
      <c r="O48" s="13"/>
      <c r="P48" s="13"/>
      <c r="Q48" s="13"/>
      <c r="R48" s="13"/>
      <c r="S48" s="13"/>
      <c r="T48" s="13"/>
      <c r="U48" s="13"/>
      <c r="V48" s="13"/>
      <c r="W48" s="13"/>
      <c r="X48" s="13"/>
      <c r="Y48" s="13"/>
      <c r="Z48" s="13"/>
    </row>
    <row r="49" ht="15.75" customHeight="1">
      <c r="A49" s="13"/>
      <c r="B49" s="231" t="s">
        <v>232</v>
      </c>
      <c r="C49" s="13"/>
      <c r="D49" s="13"/>
      <c r="E49" s="90"/>
      <c r="F49" s="57"/>
      <c r="G49" s="13"/>
      <c r="H49" s="13"/>
      <c r="I49" s="13"/>
      <c r="J49" s="13"/>
      <c r="K49" s="13"/>
      <c r="L49" s="13"/>
      <c r="M49" s="13"/>
      <c r="N49" s="13"/>
      <c r="O49" s="13"/>
      <c r="P49" s="13"/>
      <c r="Q49" s="13"/>
      <c r="R49" s="13"/>
      <c r="S49" s="13"/>
      <c r="T49" s="13"/>
      <c r="U49" s="13"/>
      <c r="V49" s="13"/>
      <c r="W49" s="13"/>
      <c r="X49" s="13"/>
      <c r="Y49" s="13"/>
      <c r="Z49" s="13"/>
    </row>
    <row r="50" ht="15.75" customHeight="1">
      <c r="A50" s="13"/>
      <c r="B50" s="231"/>
      <c r="C50" s="13"/>
      <c r="D50" s="13"/>
      <c r="E50" s="90"/>
      <c r="F50" s="57"/>
      <c r="G50" s="13"/>
      <c r="H50" s="13"/>
      <c r="I50" s="13"/>
      <c r="J50" s="13"/>
      <c r="K50" s="13"/>
      <c r="L50" s="13"/>
      <c r="M50" s="13"/>
      <c r="N50" s="13"/>
      <c r="O50" s="13"/>
      <c r="P50" s="13"/>
      <c r="Q50" s="13"/>
      <c r="R50" s="13"/>
      <c r="S50" s="13"/>
      <c r="T50" s="13"/>
      <c r="U50" s="13"/>
      <c r="V50" s="13"/>
      <c r="W50" s="13"/>
      <c r="X50" s="13"/>
      <c r="Y50" s="13"/>
      <c r="Z50" s="13"/>
    </row>
    <row r="51" ht="15.75" customHeight="1">
      <c r="A51" s="13"/>
      <c r="B51" s="208" t="s">
        <v>233</v>
      </c>
      <c r="C51" s="208" t="s">
        <v>234</v>
      </c>
      <c r="D51" s="208" t="s">
        <v>235</v>
      </c>
      <c r="E51" s="208" t="s">
        <v>236</v>
      </c>
      <c r="F51" s="239" t="s">
        <v>189</v>
      </c>
      <c r="G51" s="239" t="s">
        <v>192</v>
      </c>
      <c r="H51" s="208" t="s">
        <v>237</v>
      </c>
      <c r="I51" s="208" t="s">
        <v>238</v>
      </c>
      <c r="J51" s="208" t="s">
        <v>239</v>
      </c>
      <c r="K51" s="239" t="s">
        <v>226</v>
      </c>
      <c r="L51" s="13"/>
      <c r="M51" s="13"/>
      <c r="N51" s="13"/>
      <c r="O51" s="13"/>
      <c r="P51" s="13"/>
      <c r="Q51" s="13"/>
      <c r="R51" s="13"/>
      <c r="S51" s="13"/>
      <c r="T51" s="13"/>
      <c r="U51" s="13"/>
      <c r="V51" s="13"/>
      <c r="W51" s="13"/>
      <c r="X51" s="13"/>
      <c r="Y51" s="13"/>
      <c r="Z51" s="13"/>
    </row>
    <row r="52" ht="15.75" customHeight="1">
      <c r="A52" s="13">
        <v>1.0</v>
      </c>
      <c r="B52" s="76" t="s">
        <v>240</v>
      </c>
      <c r="C52" s="76"/>
      <c r="D52" s="240"/>
      <c r="E52" s="241"/>
      <c r="F52" s="114">
        <f t="shared" ref="F52:F61" si="5">G52/12</f>
        <v>0</v>
      </c>
      <c r="G52" s="114">
        <f t="shared" ref="G52:G61" si="6">E52*D52</f>
        <v>0</v>
      </c>
      <c r="H52" s="242"/>
      <c r="I52" s="243"/>
      <c r="J52" s="244"/>
      <c r="K52" s="84">
        <f t="shared" ref="K52:K61" si="7">(H52*D52)+(I52*D52)+(J52*D52)+G52</f>
        <v>0</v>
      </c>
      <c r="L52" s="13"/>
      <c r="M52" s="13"/>
      <c r="N52" s="13"/>
      <c r="O52" s="13"/>
      <c r="P52" s="13"/>
      <c r="Q52" s="13"/>
      <c r="R52" s="13"/>
      <c r="S52" s="13"/>
      <c r="T52" s="13"/>
      <c r="U52" s="13"/>
      <c r="V52" s="13"/>
      <c r="W52" s="13"/>
      <c r="X52" s="13"/>
      <c r="Y52" s="13"/>
      <c r="Z52" s="13"/>
    </row>
    <row r="53" ht="15.75" customHeight="1">
      <c r="A53" s="13">
        <v>2.0</v>
      </c>
      <c r="B53" s="216" t="s">
        <v>241</v>
      </c>
      <c r="C53" s="216"/>
      <c r="D53" s="245"/>
      <c r="E53" s="115"/>
      <c r="F53" s="114">
        <f t="shared" si="5"/>
        <v>0</v>
      </c>
      <c r="G53" s="114">
        <f t="shared" si="6"/>
        <v>0</v>
      </c>
      <c r="H53" s="246"/>
      <c r="I53" s="247"/>
      <c r="J53" s="248"/>
      <c r="K53" s="84">
        <f t="shared" si="7"/>
        <v>0</v>
      </c>
      <c r="L53" s="13"/>
      <c r="M53" s="13"/>
      <c r="N53" s="13"/>
      <c r="O53" s="13"/>
      <c r="P53" s="13"/>
      <c r="Q53" s="13"/>
      <c r="R53" s="13"/>
      <c r="S53" s="13"/>
      <c r="T53" s="13"/>
      <c r="U53" s="13"/>
      <c r="V53" s="13"/>
      <c r="W53" s="13"/>
      <c r="X53" s="13"/>
      <c r="Y53" s="13"/>
      <c r="Z53" s="13"/>
    </row>
    <row r="54" ht="15.75" customHeight="1">
      <c r="A54" s="13">
        <v>3.0</v>
      </c>
      <c r="B54" s="216" t="s">
        <v>242</v>
      </c>
      <c r="C54" s="216"/>
      <c r="D54" s="245"/>
      <c r="E54" s="115"/>
      <c r="F54" s="114">
        <f t="shared" si="5"/>
        <v>0</v>
      </c>
      <c r="G54" s="114">
        <f t="shared" si="6"/>
        <v>0</v>
      </c>
      <c r="H54" s="246"/>
      <c r="I54" s="247"/>
      <c r="J54" s="248"/>
      <c r="K54" s="84">
        <f t="shared" si="7"/>
        <v>0</v>
      </c>
      <c r="L54" s="13"/>
      <c r="M54" s="13"/>
      <c r="N54" s="13"/>
      <c r="O54" s="13"/>
      <c r="P54" s="13"/>
      <c r="Q54" s="13"/>
      <c r="R54" s="13"/>
      <c r="S54" s="13"/>
      <c r="T54" s="13"/>
      <c r="U54" s="13"/>
      <c r="V54" s="13"/>
      <c r="W54" s="13"/>
      <c r="X54" s="13"/>
      <c r="Y54" s="13"/>
      <c r="Z54" s="13"/>
    </row>
    <row r="55" ht="15.75" customHeight="1">
      <c r="A55" s="13">
        <v>4.0</v>
      </c>
      <c r="B55" s="216" t="s">
        <v>243</v>
      </c>
      <c r="C55" s="216"/>
      <c r="D55" s="245"/>
      <c r="E55" s="115"/>
      <c r="F55" s="114">
        <f t="shared" si="5"/>
        <v>0</v>
      </c>
      <c r="G55" s="114">
        <f t="shared" si="6"/>
        <v>0</v>
      </c>
      <c r="H55" s="246"/>
      <c r="I55" s="247"/>
      <c r="J55" s="248"/>
      <c r="K55" s="84">
        <f t="shared" si="7"/>
        <v>0</v>
      </c>
      <c r="L55" s="13"/>
      <c r="M55" s="13"/>
      <c r="N55" s="13"/>
      <c r="O55" s="13"/>
      <c r="P55" s="13"/>
      <c r="Q55" s="13"/>
      <c r="R55" s="13"/>
      <c r="S55" s="13"/>
      <c r="T55" s="13"/>
      <c r="U55" s="13"/>
      <c r="V55" s="13"/>
      <c r="W55" s="13"/>
      <c r="X55" s="13"/>
      <c r="Y55" s="13"/>
      <c r="Z55" s="13"/>
    </row>
    <row r="56" ht="15.75" customHeight="1">
      <c r="A56" s="13">
        <v>5.0</v>
      </c>
      <c r="B56" s="216" t="s">
        <v>244</v>
      </c>
      <c r="C56" s="216"/>
      <c r="D56" s="245"/>
      <c r="E56" s="115"/>
      <c r="F56" s="114">
        <f t="shared" si="5"/>
        <v>0</v>
      </c>
      <c r="G56" s="114">
        <f t="shared" si="6"/>
        <v>0</v>
      </c>
      <c r="H56" s="246"/>
      <c r="I56" s="247"/>
      <c r="J56" s="248"/>
      <c r="K56" s="84">
        <f t="shared" si="7"/>
        <v>0</v>
      </c>
      <c r="L56" s="13"/>
      <c r="M56" s="13"/>
      <c r="N56" s="13"/>
      <c r="O56" s="13"/>
      <c r="P56" s="13"/>
      <c r="Q56" s="13"/>
      <c r="R56" s="13"/>
      <c r="S56" s="13"/>
      <c r="T56" s="13"/>
      <c r="U56" s="13"/>
      <c r="V56" s="13"/>
      <c r="W56" s="13"/>
      <c r="X56" s="13"/>
      <c r="Y56" s="13"/>
      <c r="Z56" s="13"/>
    </row>
    <row r="57" ht="15.75" customHeight="1">
      <c r="A57" s="13">
        <v>6.0</v>
      </c>
      <c r="B57" s="216" t="s">
        <v>245</v>
      </c>
      <c r="C57" s="216"/>
      <c r="D57" s="245"/>
      <c r="E57" s="115"/>
      <c r="F57" s="114">
        <f t="shared" si="5"/>
        <v>0</v>
      </c>
      <c r="G57" s="114">
        <f t="shared" si="6"/>
        <v>0</v>
      </c>
      <c r="H57" s="246"/>
      <c r="I57" s="247"/>
      <c r="J57" s="248"/>
      <c r="K57" s="84">
        <f t="shared" si="7"/>
        <v>0</v>
      </c>
      <c r="L57" s="13"/>
      <c r="M57" s="13"/>
      <c r="N57" s="13"/>
      <c r="O57" s="13"/>
      <c r="P57" s="13"/>
      <c r="Q57" s="13"/>
      <c r="R57" s="13"/>
      <c r="S57" s="13"/>
      <c r="T57" s="13"/>
      <c r="U57" s="13"/>
      <c r="V57" s="13"/>
      <c r="W57" s="13"/>
      <c r="X57" s="13"/>
      <c r="Y57" s="13"/>
      <c r="Z57" s="13"/>
    </row>
    <row r="58" ht="15.75" customHeight="1">
      <c r="A58" s="13">
        <v>7.0</v>
      </c>
      <c r="B58" s="216" t="s">
        <v>246</v>
      </c>
      <c r="C58" s="216"/>
      <c r="D58" s="245"/>
      <c r="E58" s="115"/>
      <c r="F58" s="114">
        <f t="shared" si="5"/>
        <v>0</v>
      </c>
      <c r="G58" s="114">
        <f t="shared" si="6"/>
        <v>0</v>
      </c>
      <c r="H58" s="246"/>
      <c r="I58" s="247"/>
      <c r="J58" s="248"/>
      <c r="K58" s="84">
        <f t="shared" si="7"/>
        <v>0</v>
      </c>
      <c r="L58" s="13"/>
      <c r="M58" s="13"/>
      <c r="N58" s="13"/>
      <c r="O58" s="13"/>
      <c r="P58" s="13"/>
      <c r="Q58" s="13"/>
      <c r="R58" s="13"/>
      <c r="S58" s="13"/>
      <c r="T58" s="13"/>
      <c r="U58" s="13"/>
      <c r="V58" s="13"/>
      <c r="W58" s="13"/>
      <c r="X58" s="13"/>
      <c r="Y58" s="13"/>
      <c r="Z58" s="13"/>
    </row>
    <row r="59" ht="15.75" customHeight="1">
      <c r="A59" s="13">
        <v>8.0</v>
      </c>
      <c r="B59" s="216" t="s">
        <v>247</v>
      </c>
      <c r="C59" s="216"/>
      <c r="D59" s="245"/>
      <c r="E59" s="115"/>
      <c r="F59" s="114">
        <f t="shared" si="5"/>
        <v>0</v>
      </c>
      <c r="G59" s="114">
        <f t="shared" si="6"/>
        <v>0</v>
      </c>
      <c r="H59" s="246"/>
      <c r="I59" s="247"/>
      <c r="J59" s="248"/>
      <c r="K59" s="84">
        <f t="shared" si="7"/>
        <v>0</v>
      </c>
      <c r="L59" s="13"/>
      <c r="M59" s="13"/>
      <c r="N59" s="13"/>
      <c r="O59" s="13"/>
      <c r="P59" s="13"/>
      <c r="Q59" s="13"/>
      <c r="R59" s="13"/>
      <c r="S59" s="13"/>
      <c r="T59" s="13"/>
      <c r="U59" s="13"/>
      <c r="V59" s="13"/>
      <c r="W59" s="13"/>
      <c r="X59" s="13"/>
      <c r="Y59" s="13"/>
      <c r="Z59" s="13"/>
    </row>
    <row r="60" ht="15.75" customHeight="1">
      <c r="A60" s="13">
        <v>9.0</v>
      </c>
      <c r="B60" s="216" t="s">
        <v>248</v>
      </c>
      <c r="C60" s="216"/>
      <c r="D60" s="245"/>
      <c r="E60" s="115"/>
      <c r="F60" s="114">
        <f t="shared" si="5"/>
        <v>0</v>
      </c>
      <c r="G60" s="114">
        <f t="shared" si="6"/>
        <v>0</v>
      </c>
      <c r="H60" s="246"/>
      <c r="I60" s="247"/>
      <c r="J60" s="248"/>
      <c r="K60" s="84">
        <f t="shared" si="7"/>
        <v>0</v>
      </c>
      <c r="L60" s="13"/>
      <c r="M60" s="13"/>
      <c r="N60" s="13"/>
      <c r="O60" s="13"/>
      <c r="P60" s="13"/>
      <c r="Q60" s="13"/>
      <c r="R60" s="13"/>
      <c r="S60" s="13"/>
      <c r="T60" s="13"/>
      <c r="U60" s="13"/>
      <c r="V60" s="13"/>
      <c r="W60" s="13"/>
      <c r="X60" s="13"/>
      <c r="Y60" s="13"/>
      <c r="Z60" s="13"/>
    </row>
    <row r="61" ht="15.75" customHeight="1">
      <c r="A61" s="249">
        <v>10.0</v>
      </c>
      <c r="B61" s="250" t="s">
        <v>249</v>
      </c>
      <c r="C61" s="251"/>
      <c r="D61" s="252"/>
      <c r="E61" s="253"/>
      <c r="F61" s="254">
        <f t="shared" si="5"/>
        <v>0</v>
      </c>
      <c r="G61" s="254">
        <f t="shared" si="6"/>
        <v>0</v>
      </c>
      <c r="H61" s="253"/>
      <c r="I61" s="253"/>
      <c r="J61" s="255"/>
      <c r="K61" s="256">
        <f t="shared" si="7"/>
        <v>0</v>
      </c>
      <c r="L61" s="13"/>
      <c r="M61" s="13"/>
      <c r="N61" s="13"/>
      <c r="O61" s="13"/>
      <c r="P61" s="13"/>
      <c r="Q61" s="13"/>
      <c r="R61" s="13"/>
      <c r="S61" s="13"/>
      <c r="T61" s="13"/>
      <c r="U61" s="13"/>
      <c r="V61" s="13"/>
      <c r="W61" s="13"/>
      <c r="X61" s="13"/>
      <c r="Y61" s="13"/>
      <c r="Z61" s="13"/>
    </row>
    <row r="62" ht="15.75" customHeight="1">
      <c r="A62" s="13"/>
      <c r="B62" s="230"/>
      <c r="C62" s="13"/>
      <c r="D62" s="13"/>
      <c r="E62" s="90"/>
      <c r="F62" s="57"/>
      <c r="G62" s="13"/>
      <c r="H62" s="13"/>
      <c r="I62" s="13"/>
      <c r="J62" s="257" t="s">
        <v>250</v>
      </c>
      <c r="K62" s="119">
        <f>SUM(K52:K61)</f>
        <v>0</v>
      </c>
      <c r="L62" s="13"/>
      <c r="M62" s="13"/>
      <c r="N62" s="13"/>
      <c r="O62" s="13"/>
      <c r="P62" s="13"/>
      <c r="Q62" s="13"/>
      <c r="R62" s="13"/>
      <c r="S62" s="13"/>
      <c r="T62" s="13"/>
      <c r="U62" s="13"/>
      <c r="V62" s="13"/>
      <c r="W62" s="13"/>
      <c r="X62" s="13"/>
      <c r="Y62" s="13"/>
      <c r="Z62" s="13"/>
    </row>
    <row r="63" ht="15.75" customHeight="1">
      <c r="A63" s="13"/>
      <c r="B63" s="231" t="s">
        <v>251</v>
      </c>
      <c r="C63" s="13"/>
      <c r="D63" s="13"/>
      <c r="E63" s="13"/>
      <c r="F63" s="13"/>
      <c r="G63" s="13"/>
      <c r="H63" s="13"/>
      <c r="I63" s="13"/>
      <c r="J63" s="13"/>
      <c r="K63" s="13"/>
      <c r="L63" s="13"/>
      <c r="M63" s="13"/>
      <c r="N63" s="13"/>
      <c r="O63" s="13"/>
      <c r="P63" s="13"/>
      <c r="Q63" s="13"/>
      <c r="R63" s="13"/>
      <c r="S63" s="13"/>
      <c r="T63" s="13"/>
      <c r="U63" s="13"/>
      <c r="V63" s="13"/>
      <c r="W63" s="13"/>
      <c r="X63" s="13"/>
      <c r="Y63" s="13"/>
      <c r="Z63" s="13"/>
    </row>
    <row r="64" ht="15.75" customHeight="1">
      <c r="A64" s="249"/>
      <c r="B64" s="13"/>
      <c r="C64" s="182"/>
      <c r="D64" s="13"/>
      <c r="E64" s="13"/>
      <c r="F64" s="13"/>
      <c r="G64" s="13"/>
      <c r="H64" s="13"/>
      <c r="I64" s="13"/>
      <c r="J64" s="13"/>
      <c r="K64" s="13"/>
      <c r="L64" s="13"/>
      <c r="M64" s="13"/>
      <c r="N64" s="13"/>
      <c r="O64" s="13"/>
      <c r="P64" s="13"/>
      <c r="Q64" s="13"/>
      <c r="R64" s="13"/>
      <c r="S64" s="13"/>
      <c r="T64" s="13"/>
      <c r="U64" s="13"/>
      <c r="V64" s="13"/>
      <c r="W64" s="13"/>
      <c r="X64" s="13"/>
      <c r="Y64" s="13"/>
      <c r="Z64" s="13"/>
    </row>
    <row r="65" ht="15.75" customHeight="1">
      <c r="A65" s="249"/>
      <c r="B65" s="258" t="s">
        <v>219</v>
      </c>
      <c r="C65" s="259"/>
      <c r="D65" s="84">
        <f>H38</f>
        <v>2761572</v>
      </c>
      <c r="E65" s="13"/>
      <c r="F65" s="13"/>
      <c r="G65" s="13"/>
      <c r="H65" s="13"/>
      <c r="I65" s="13"/>
      <c r="J65" s="13"/>
      <c r="K65" s="13"/>
      <c r="L65" s="13"/>
      <c r="M65" s="13"/>
      <c r="N65" s="13"/>
      <c r="O65" s="13"/>
      <c r="P65" s="13"/>
      <c r="Q65" s="13"/>
      <c r="R65" s="13"/>
      <c r="S65" s="13"/>
      <c r="T65" s="13"/>
      <c r="U65" s="13"/>
      <c r="V65" s="13"/>
      <c r="W65" s="13"/>
      <c r="X65" s="13"/>
      <c r="Y65" s="13"/>
      <c r="Z65" s="13"/>
    </row>
    <row r="66" ht="15.75" customHeight="1">
      <c r="A66" s="249"/>
      <c r="B66" s="260" t="s">
        <v>252</v>
      </c>
      <c r="C66" s="261">
        <f>'Assumptions (P1B)'!D30</f>
        <v>0.05</v>
      </c>
      <c r="D66" s="262">
        <f>D65*-C66</f>
        <v>-138078.6</v>
      </c>
      <c r="E66" s="95" t="s">
        <v>253</v>
      </c>
      <c r="F66" s="13"/>
      <c r="G66" s="13"/>
      <c r="H66" s="13"/>
      <c r="I66" s="13"/>
      <c r="J66" s="13"/>
      <c r="K66" s="13"/>
      <c r="L66" s="13"/>
      <c r="M66" s="13"/>
      <c r="N66" s="13"/>
      <c r="O66" s="13"/>
      <c r="P66" s="13"/>
      <c r="Q66" s="13"/>
      <c r="R66" s="13"/>
      <c r="S66" s="13"/>
      <c r="T66" s="13"/>
      <c r="U66" s="13"/>
      <c r="V66" s="13"/>
      <c r="W66" s="13"/>
      <c r="X66" s="13"/>
      <c r="Y66" s="13"/>
      <c r="Z66" s="13"/>
    </row>
    <row r="67" ht="15.75" customHeight="1">
      <c r="A67" s="13"/>
      <c r="B67" s="230"/>
      <c r="C67" s="34" t="s">
        <v>254</v>
      </c>
      <c r="D67" s="263">
        <f>SUM(D65:D66)</f>
        <v>2623493.4</v>
      </c>
      <c r="E67" s="13"/>
      <c r="F67" s="13"/>
      <c r="G67" s="13"/>
      <c r="H67" s="13"/>
      <c r="I67" s="13"/>
      <c r="J67" s="13"/>
      <c r="K67" s="13"/>
      <c r="L67" s="13"/>
      <c r="M67" s="13"/>
      <c r="N67" s="13"/>
      <c r="O67" s="13"/>
      <c r="P67" s="13"/>
      <c r="Q67" s="13"/>
      <c r="R67" s="13"/>
      <c r="S67" s="13"/>
      <c r="T67" s="13"/>
      <c r="U67" s="13"/>
      <c r="V67" s="13"/>
      <c r="W67" s="13"/>
      <c r="X67" s="13"/>
      <c r="Y67" s="13"/>
      <c r="Z67" s="13"/>
    </row>
    <row r="68" ht="15.75" customHeight="1">
      <c r="A68" s="13"/>
      <c r="B68" s="230"/>
      <c r="C68" s="13"/>
      <c r="D68" s="13"/>
      <c r="E68" s="13"/>
      <c r="F68" s="13"/>
      <c r="G68" s="13"/>
      <c r="H68" s="13"/>
      <c r="I68" s="13"/>
      <c r="J68" s="13"/>
      <c r="K68" s="13"/>
      <c r="L68" s="13"/>
      <c r="M68" s="13"/>
      <c r="N68" s="13"/>
      <c r="O68" s="13"/>
      <c r="P68" s="13"/>
      <c r="Q68" s="13"/>
      <c r="R68" s="13"/>
      <c r="S68" s="13"/>
      <c r="T68" s="13"/>
      <c r="U68" s="13"/>
      <c r="V68" s="13"/>
      <c r="W68" s="13"/>
      <c r="X68" s="13"/>
      <c r="Y68" s="13"/>
      <c r="Z68" s="13"/>
    </row>
    <row r="69" ht="15.75" customHeight="1">
      <c r="A69" s="13"/>
      <c r="B69" s="264" t="s">
        <v>250</v>
      </c>
      <c r="C69" s="259"/>
      <c r="D69" s="84">
        <f>K62</f>
        <v>0</v>
      </c>
      <c r="E69" s="13"/>
      <c r="F69" s="13"/>
      <c r="G69" s="13"/>
      <c r="H69" s="13"/>
      <c r="I69" s="13"/>
      <c r="J69" s="13"/>
      <c r="K69" s="13"/>
      <c r="L69" s="13"/>
      <c r="M69" s="13"/>
      <c r="N69" s="13"/>
      <c r="O69" s="13"/>
      <c r="P69" s="13"/>
      <c r="Q69" s="13"/>
      <c r="R69" s="13"/>
      <c r="S69" s="13"/>
      <c r="T69" s="13"/>
      <c r="U69" s="13"/>
      <c r="V69" s="13"/>
      <c r="W69" s="13"/>
      <c r="X69" s="13"/>
      <c r="Y69" s="13"/>
      <c r="Z69" s="13"/>
    </row>
    <row r="70" ht="15.75" customHeight="1">
      <c r="A70" s="13"/>
      <c r="B70" s="260" t="s">
        <v>255</v>
      </c>
      <c r="C70" s="261">
        <v>0.0</v>
      </c>
      <c r="D70" s="262">
        <f>D69*-C70</f>
        <v>0</v>
      </c>
      <c r="E70" s="95" t="s">
        <v>253</v>
      </c>
      <c r="F70" s="13"/>
      <c r="G70" s="13"/>
      <c r="H70" s="13"/>
      <c r="I70" s="13"/>
      <c r="J70" s="13"/>
      <c r="K70" s="13"/>
      <c r="L70" s="13"/>
      <c r="M70" s="13"/>
      <c r="N70" s="13"/>
      <c r="O70" s="13"/>
      <c r="P70" s="13"/>
      <c r="Q70" s="13"/>
      <c r="R70" s="13"/>
      <c r="S70" s="13"/>
      <c r="T70" s="13"/>
      <c r="U70" s="13"/>
      <c r="V70" s="13"/>
      <c r="W70" s="13"/>
      <c r="X70" s="13"/>
      <c r="Y70" s="13"/>
      <c r="Z70" s="13"/>
    </row>
    <row r="71" ht="15.75" customHeight="1">
      <c r="A71" s="13"/>
      <c r="B71" s="230"/>
      <c r="C71" s="34" t="s">
        <v>256</v>
      </c>
      <c r="D71" s="263">
        <f>SUM(D69:D70)</f>
        <v>0</v>
      </c>
      <c r="E71" s="13"/>
      <c r="F71" s="13"/>
      <c r="G71" s="13"/>
      <c r="H71" s="13"/>
      <c r="I71" s="13"/>
      <c r="J71" s="13"/>
      <c r="K71" s="13"/>
      <c r="L71" s="13"/>
      <c r="M71" s="13"/>
      <c r="N71" s="13"/>
      <c r="O71" s="13"/>
      <c r="P71" s="13"/>
      <c r="Q71" s="13"/>
      <c r="R71" s="13"/>
      <c r="S71" s="13"/>
      <c r="T71" s="13"/>
      <c r="U71" s="13"/>
      <c r="V71" s="13"/>
      <c r="W71" s="13"/>
      <c r="X71" s="13"/>
      <c r="Y71" s="13"/>
      <c r="Z71" s="13"/>
    </row>
    <row r="72" ht="15.75" customHeight="1">
      <c r="A72" s="13"/>
      <c r="B72" s="230"/>
      <c r="C72" s="34"/>
      <c r="D72" s="93"/>
      <c r="E72" s="13"/>
      <c r="F72" s="13"/>
      <c r="G72" s="13"/>
      <c r="H72" s="13"/>
      <c r="I72" s="13"/>
      <c r="J72" s="13"/>
      <c r="K72" s="13"/>
      <c r="L72" s="13"/>
      <c r="M72" s="13"/>
      <c r="N72" s="13"/>
      <c r="O72" s="13"/>
      <c r="P72" s="13"/>
      <c r="Q72" s="13"/>
      <c r="R72" s="13"/>
      <c r="S72" s="13"/>
      <c r="T72" s="13"/>
      <c r="U72" s="13"/>
      <c r="V72" s="13"/>
      <c r="W72" s="13"/>
      <c r="X72" s="13"/>
      <c r="Y72" s="13"/>
      <c r="Z72" s="13"/>
    </row>
    <row r="73" ht="15.75" customHeight="1">
      <c r="A73" s="13"/>
      <c r="B73" s="230"/>
      <c r="C73" s="34" t="s">
        <v>231</v>
      </c>
      <c r="D73" s="265">
        <f>F48</f>
        <v>10140</v>
      </c>
      <c r="E73" s="13"/>
      <c r="F73" s="13"/>
      <c r="G73" s="13"/>
      <c r="H73" s="13"/>
      <c r="I73" s="13"/>
      <c r="J73" s="13"/>
      <c r="K73" s="13"/>
      <c r="L73" s="13"/>
      <c r="M73" s="13"/>
      <c r="N73" s="13"/>
      <c r="O73" s="13"/>
      <c r="P73" s="13"/>
      <c r="Q73" s="13"/>
      <c r="R73" s="13"/>
      <c r="S73" s="13"/>
      <c r="T73" s="13"/>
      <c r="U73" s="13"/>
      <c r="V73" s="13"/>
      <c r="W73" s="13"/>
      <c r="X73" s="13"/>
      <c r="Y73" s="13"/>
      <c r="Z73" s="13"/>
    </row>
    <row r="74" ht="15.75" customHeight="1">
      <c r="A74" s="13"/>
      <c r="B74" s="230"/>
      <c r="C74" s="13"/>
      <c r="D74" s="13"/>
      <c r="E74" s="13"/>
      <c r="F74" s="13"/>
      <c r="G74" s="13"/>
      <c r="H74" s="13"/>
      <c r="I74" s="13"/>
      <c r="J74" s="13"/>
      <c r="K74" s="13"/>
      <c r="L74" s="13"/>
      <c r="M74" s="13"/>
      <c r="N74" s="13"/>
      <c r="O74" s="13"/>
      <c r="P74" s="13"/>
      <c r="Q74" s="13"/>
      <c r="R74" s="13"/>
      <c r="S74" s="13"/>
      <c r="T74" s="13"/>
      <c r="U74" s="13"/>
      <c r="V74" s="13"/>
      <c r="W74" s="13"/>
      <c r="X74" s="13"/>
      <c r="Y74" s="13"/>
      <c r="Z74" s="13"/>
    </row>
    <row r="75" ht="15.75" customHeight="1">
      <c r="A75" s="13"/>
      <c r="B75" s="174"/>
      <c r="C75" s="266" t="s">
        <v>257</v>
      </c>
      <c r="D75" s="267">
        <f>D67+D71+D73</f>
        <v>2633633.4</v>
      </c>
      <c r="E75" s="13"/>
      <c r="F75" s="13"/>
      <c r="G75" s="13"/>
      <c r="H75" s="13"/>
      <c r="I75" s="13"/>
      <c r="J75" s="13"/>
      <c r="K75" s="13"/>
      <c r="L75" s="13"/>
      <c r="M75" s="13"/>
      <c r="N75" s="13"/>
      <c r="O75" s="13"/>
      <c r="P75" s="13"/>
      <c r="Q75" s="13"/>
      <c r="R75" s="13"/>
      <c r="S75" s="13"/>
      <c r="T75" s="13"/>
      <c r="U75" s="13"/>
      <c r="V75" s="13"/>
      <c r="W75" s="13"/>
      <c r="X75" s="13"/>
      <c r="Y75" s="13"/>
      <c r="Z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ht="15.75" customHeight="1">
      <c r="A78" s="13"/>
      <c r="B78" s="206" t="s">
        <v>258</v>
      </c>
      <c r="C78" s="37"/>
      <c r="D78" s="37"/>
      <c r="E78" s="37"/>
      <c r="F78" s="37"/>
      <c r="G78" s="37"/>
      <c r="H78" s="37"/>
      <c r="I78" s="13"/>
      <c r="J78" s="13"/>
      <c r="K78" s="13"/>
      <c r="L78" s="13"/>
      <c r="M78" s="13"/>
      <c r="N78" s="13"/>
      <c r="O78" s="13"/>
      <c r="P78" s="13"/>
      <c r="Q78" s="13"/>
      <c r="R78" s="13"/>
      <c r="S78" s="13"/>
      <c r="T78" s="13"/>
      <c r="U78" s="13"/>
      <c r="V78" s="13"/>
      <c r="W78" s="13"/>
      <c r="X78" s="13"/>
      <c r="Y78" s="13"/>
      <c r="Z78" s="13"/>
    </row>
    <row r="79" ht="15.7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ht="15.75" customHeight="1">
      <c r="A80" s="13"/>
      <c r="B80" s="268"/>
      <c r="C80" s="269"/>
      <c r="D80" s="269"/>
      <c r="E80" s="269"/>
      <c r="F80" s="13"/>
      <c r="G80" s="13"/>
      <c r="H80" s="13"/>
      <c r="I80" s="13"/>
      <c r="J80" s="13"/>
      <c r="K80" s="13"/>
      <c r="L80" s="13"/>
      <c r="M80" s="13"/>
      <c r="N80" s="13"/>
      <c r="O80" s="13"/>
      <c r="P80" s="13"/>
      <c r="Q80" s="13"/>
      <c r="R80" s="13"/>
      <c r="S80" s="13"/>
      <c r="T80" s="13"/>
      <c r="U80" s="13"/>
      <c r="V80" s="13"/>
      <c r="W80" s="13"/>
      <c r="X80" s="13"/>
      <c r="Y80" s="13"/>
      <c r="Z80" s="13"/>
    </row>
    <row r="81" ht="15.75" customHeight="1">
      <c r="A81" s="13"/>
      <c r="B81" s="270" t="s">
        <v>259</v>
      </c>
      <c r="C81" s="271" t="s">
        <v>260</v>
      </c>
      <c r="D81" s="271" t="s">
        <v>261</v>
      </c>
      <c r="E81" s="271" t="s">
        <v>262</v>
      </c>
      <c r="F81" s="13"/>
      <c r="G81" s="13"/>
      <c r="H81" s="13"/>
      <c r="I81" s="13"/>
      <c r="J81" s="13"/>
      <c r="K81" s="13"/>
      <c r="L81" s="13"/>
      <c r="M81" s="13"/>
      <c r="N81" s="13"/>
      <c r="O81" s="13"/>
      <c r="P81" s="13"/>
      <c r="Q81" s="13"/>
      <c r="R81" s="13"/>
      <c r="S81" s="13"/>
      <c r="T81" s="13"/>
      <c r="U81" s="13"/>
      <c r="V81" s="13"/>
      <c r="W81" s="13"/>
      <c r="X81" s="13"/>
      <c r="Y81" s="13"/>
      <c r="Z81" s="13"/>
    </row>
    <row r="82" ht="15.75" customHeight="1">
      <c r="A82" s="13"/>
      <c r="B82" s="230" t="s">
        <v>263</v>
      </c>
      <c r="C82" s="272">
        <f>egi*'Assumptions (P1B)'!D38</f>
        <v>131681.67</v>
      </c>
      <c r="D82" s="273">
        <f>C82/unit</f>
        <v>779.1814793</v>
      </c>
      <c r="E82" s="274">
        <f>C82/egi</f>
        <v>0.05</v>
      </c>
      <c r="F82" s="13"/>
      <c r="G82" s="75"/>
      <c r="H82" s="13"/>
      <c r="I82" s="13"/>
      <c r="J82" s="13"/>
      <c r="K82" s="13"/>
      <c r="L82" s="13"/>
      <c r="M82" s="13"/>
      <c r="N82" s="13"/>
      <c r="O82" s="13"/>
      <c r="P82" s="13"/>
      <c r="Q82" s="13"/>
      <c r="R82" s="13"/>
      <c r="S82" s="13"/>
      <c r="T82" s="13"/>
      <c r="U82" s="13"/>
      <c r="V82" s="13"/>
      <c r="W82" s="13"/>
      <c r="X82" s="13"/>
      <c r="Y82" s="13"/>
      <c r="Z82" s="13"/>
    </row>
    <row r="83" ht="15.75" customHeight="1">
      <c r="A83" s="13"/>
      <c r="B83" s="230" t="s">
        <v>264</v>
      </c>
      <c r="C83" s="218">
        <f>'Assumptions (P1B)'!D39</f>
        <v>70000</v>
      </c>
      <c r="D83" s="273">
        <f>C83/unit</f>
        <v>414.2011834</v>
      </c>
      <c r="E83" s="274">
        <f>C83/egi</f>
        <v>0.02657924979</v>
      </c>
      <c r="F83" s="13"/>
      <c r="G83" s="13"/>
      <c r="H83" s="13"/>
      <c r="I83" s="13"/>
      <c r="J83" s="13"/>
      <c r="K83" s="13"/>
      <c r="L83" s="13"/>
      <c r="M83" s="13"/>
      <c r="N83" s="13"/>
      <c r="O83" s="13"/>
      <c r="P83" s="13"/>
      <c r="Q83" s="13"/>
      <c r="R83" s="13"/>
      <c r="S83" s="13"/>
      <c r="T83" s="13"/>
      <c r="U83" s="13"/>
      <c r="V83" s="13"/>
      <c r="W83" s="13"/>
      <c r="X83" s="13"/>
      <c r="Y83" s="13"/>
      <c r="Z83" s="13"/>
    </row>
    <row r="84" ht="15.75" customHeight="1">
      <c r="A84" s="13"/>
      <c r="B84" s="230" t="s">
        <v>265</v>
      </c>
      <c r="C84" s="218">
        <f>'Assumptions (P1B)'!D40</f>
        <v>10000</v>
      </c>
      <c r="D84" s="273">
        <f>C84/unit</f>
        <v>59.17159763</v>
      </c>
      <c r="E84" s="274">
        <f>C84/egi</f>
        <v>0.003797035685</v>
      </c>
      <c r="F84" s="13"/>
      <c r="G84" s="13"/>
      <c r="H84" s="13"/>
      <c r="I84" s="13"/>
      <c r="J84" s="13"/>
      <c r="K84" s="13"/>
      <c r="L84" s="13"/>
      <c r="M84" s="13"/>
      <c r="N84" s="13"/>
      <c r="O84" s="13"/>
      <c r="P84" s="13"/>
      <c r="Q84" s="13"/>
      <c r="R84" s="13"/>
      <c r="S84" s="13"/>
      <c r="T84" s="13"/>
      <c r="U84" s="13"/>
      <c r="V84" s="13"/>
      <c r="W84" s="13"/>
      <c r="X84" s="13"/>
      <c r="Y84" s="13"/>
      <c r="Z84" s="13"/>
    </row>
    <row r="85" ht="15.75" customHeight="1">
      <c r="A85" s="13"/>
      <c r="B85" s="230" t="s">
        <v>266</v>
      </c>
      <c r="C85" s="218">
        <f>'Assumptions (P1B)'!D41</f>
        <v>10000</v>
      </c>
      <c r="D85" s="273">
        <f>C85/unit</f>
        <v>59.17159763</v>
      </c>
      <c r="E85" s="274">
        <f>C85/egi</f>
        <v>0.003797035685</v>
      </c>
      <c r="F85" s="13"/>
      <c r="G85" s="13"/>
      <c r="H85" s="13"/>
      <c r="I85" s="13"/>
      <c r="J85" s="13"/>
      <c r="K85" s="13"/>
      <c r="L85" s="13"/>
      <c r="M85" s="13"/>
      <c r="N85" s="13"/>
      <c r="O85" s="13"/>
      <c r="P85" s="13"/>
      <c r="Q85" s="13"/>
      <c r="R85" s="13"/>
      <c r="S85" s="13"/>
      <c r="T85" s="13"/>
      <c r="U85" s="13"/>
      <c r="V85" s="13"/>
      <c r="W85" s="13"/>
      <c r="X85" s="13"/>
      <c r="Y85" s="13"/>
      <c r="Z85" s="13"/>
    </row>
    <row r="86" ht="15.75" customHeight="1">
      <c r="A86" s="13"/>
      <c r="B86" s="230" t="s">
        <v>267</v>
      </c>
      <c r="C86" s="218">
        <f>'Assumptions (P1B)'!D42</f>
        <v>5000</v>
      </c>
      <c r="D86" s="273">
        <f>C86/unit</f>
        <v>29.58579882</v>
      </c>
      <c r="E86" s="274">
        <f>C86/egi</f>
        <v>0.001898517842</v>
      </c>
      <c r="F86" s="13"/>
      <c r="G86" s="13"/>
      <c r="H86" s="13"/>
      <c r="I86" s="13"/>
      <c r="J86" s="13"/>
      <c r="K86" s="13"/>
      <c r="L86" s="13"/>
      <c r="M86" s="13"/>
      <c r="N86" s="13"/>
      <c r="O86" s="13"/>
      <c r="P86" s="13"/>
      <c r="Q86" s="13"/>
      <c r="R86" s="13"/>
      <c r="S86" s="13"/>
      <c r="T86" s="13"/>
      <c r="U86" s="13"/>
      <c r="V86" s="13"/>
      <c r="W86" s="13"/>
      <c r="X86" s="13"/>
      <c r="Y86" s="13"/>
      <c r="Z86" s="13"/>
    </row>
    <row r="87" ht="15.75" customHeight="1">
      <c r="A87" s="13"/>
      <c r="B87" s="153" t="s">
        <v>268</v>
      </c>
      <c r="C87" s="221">
        <f>'Assumptions (P1B)'!D43*unit</f>
        <v>25486.29032</v>
      </c>
      <c r="D87" s="273">
        <f>C87/unit</f>
        <v>150.8064516</v>
      </c>
      <c r="E87" s="274">
        <f>C87/egi</f>
        <v>0.009677235382</v>
      </c>
      <c r="F87" s="13"/>
      <c r="G87" s="13"/>
      <c r="H87" s="13"/>
      <c r="I87" s="13"/>
      <c r="J87" s="13"/>
      <c r="K87" s="13"/>
      <c r="L87" s="13"/>
      <c r="M87" s="13"/>
      <c r="N87" s="13"/>
      <c r="O87" s="13"/>
      <c r="P87" s="13"/>
      <c r="Q87" s="13"/>
      <c r="R87" s="13"/>
      <c r="S87" s="13"/>
      <c r="T87" s="13"/>
      <c r="U87" s="13"/>
      <c r="V87" s="13"/>
      <c r="W87" s="13"/>
      <c r="X87" s="13"/>
      <c r="Y87" s="13"/>
      <c r="Z87" s="13"/>
    </row>
    <row r="88" ht="15.75" customHeight="1">
      <c r="A88" s="13"/>
      <c r="B88" s="275" t="s">
        <v>269</v>
      </c>
      <c r="C88" s="276">
        <f>SUM(C82:C87)</f>
        <v>252167.9603</v>
      </c>
      <c r="D88" s="276">
        <f>C88/unit</f>
        <v>1492.118108</v>
      </c>
      <c r="E88" s="277">
        <f>C88/egi</f>
        <v>0.09574907439</v>
      </c>
      <c r="F88" s="13"/>
      <c r="G88" s="13"/>
      <c r="H88" s="13"/>
      <c r="I88" s="13"/>
      <c r="J88" s="13"/>
      <c r="K88" s="13"/>
      <c r="L88" s="13"/>
      <c r="M88" s="13"/>
      <c r="N88" s="13"/>
      <c r="O88" s="13"/>
      <c r="P88" s="13"/>
      <c r="Q88" s="13"/>
      <c r="R88" s="13"/>
      <c r="S88" s="13"/>
      <c r="T88" s="13"/>
      <c r="U88" s="13"/>
      <c r="V88" s="13"/>
      <c r="W88" s="13"/>
      <c r="X88" s="13"/>
      <c r="Y88" s="13"/>
      <c r="Z88" s="13"/>
    </row>
    <row r="89" ht="15.75" customHeight="1">
      <c r="A89" s="13"/>
      <c r="B89" s="278"/>
      <c r="C89" s="279"/>
      <c r="D89" s="279"/>
      <c r="E89" s="280"/>
      <c r="F89" s="13"/>
      <c r="G89" s="13"/>
      <c r="H89" s="13"/>
      <c r="I89" s="13"/>
      <c r="J89" s="13"/>
      <c r="K89" s="13"/>
      <c r="L89" s="13"/>
      <c r="M89" s="13"/>
      <c r="N89" s="13"/>
      <c r="O89" s="13"/>
      <c r="P89" s="13"/>
      <c r="Q89" s="13"/>
      <c r="R89" s="13"/>
      <c r="S89" s="13"/>
      <c r="T89" s="13"/>
      <c r="U89" s="13"/>
      <c r="V89" s="13"/>
      <c r="W89" s="13"/>
      <c r="X89" s="13"/>
      <c r="Y89" s="13"/>
      <c r="Z89" s="13"/>
    </row>
    <row r="90" ht="15.75" customHeight="1">
      <c r="A90" s="13"/>
      <c r="B90" s="270" t="s">
        <v>270</v>
      </c>
      <c r="C90" s="281"/>
      <c r="D90" s="281"/>
      <c r="E90" s="282"/>
      <c r="F90" s="13"/>
      <c r="G90" s="13"/>
      <c r="H90" s="13"/>
      <c r="I90" s="13"/>
      <c r="J90" s="13"/>
      <c r="K90" s="13"/>
      <c r="L90" s="13"/>
      <c r="M90" s="13"/>
      <c r="N90" s="13"/>
      <c r="O90" s="13"/>
      <c r="P90" s="13"/>
      <c r="Q90" s="13"/>
      <c r="R90" s="13"/>
      <c r="S90" s="13"/>
      <c r="T90" s="13"/>
      <c r="U90" s="13"/>
      <c r="V90" s="13"/>
      <c r="W90" s="13"/>
      <c r="X90" s="13"/>
      <c r="Y90" s="13"/>
      <c r="Z90" s="13"/>
    </row>
    <row r="91" ht="15.75" customHeight="1">
      <c r="A91" s="13"/>
      <c r="B91" s="230" t="s">
        <v>271</v>
      </c>
      <c r="C91" s="272">
        <f>unit*'Assumptions (P1B)'!D46*(1-'Assumptions (P1B)'!D47)</f>
        <v>30420</v>
      </c>
      <c r="D91" s="273">
        <f>C91/unit</f>
        <v>180</v>
      </c>
      <c r="E91" s="274">
        <f>C91/egi</f>
        <v>0.01155058255</v>
      </c>
      <c r="F91" s="13"/>
      <c r="G91" s="13"/>
      <c r="H91" s="13"/>
      <c r="I91" s="13"/>
      <c r="J91" s="13"/>
      <c r="K91" s="13"/>
      <c r="L91" s="13"/>
      <c r="M91" s="13"/>
      <c r="N91" s="13"/>
      <c r="O91" s="13"/>
      <c r="P91" s="13"/>
      <c r="Q91" s="13"/>
      <c r="R91" s="13"/>
      <c r="S91" s="13"/>
      <c r="T91" s="13"/>
      <c r="U91" s="13"/>
      <c r="V91" s="13"/>
      <c r="W91" s="13"/>
      <c r="X91" s="13"/>
      <c r="Y91" s="13"/>
      <c r="Z91" s="13"/>
    </row>
    <row r="92" ht="15.75" customHeight="1">
      <c r="A92" s="13"/>
      <c r="B92" s="230" t="s">
        <v>272</v>
      </c>
      <c r="C92" s="218">
        <f>unit*'Assumptions (P1B)'!D48*(1-'Assumptions (P1B)'!D49)</f>
        <v>6760</v>
      </c>
      <c r="D92" s="273">
        <f>C92/unit</f>
        <v>40</v>
      </c>
      <c r="E92" s="274">
        <f>C92/egi</f>
        <v>0.002566796123</v>
      </c>
      <c r="F92" s="95"/>
      <c r="G92" s="13"/>
      <c r="H92" s="13"/>
      <c r="I92" s="13"/>
      <c r="J92" s="13"/>
      <c r="K92" s="13"/>
      <c r="L92" s="13"/>
      <c r="M92" s="13"/>
      <c r="N92" s="13"/>
      <c r="O92" s="13"/>
      <c r="P92" s="13"/>
      <c r="Q92" s="13"/>
      <c r="R92" s="13"/>
      <c r="S92" s="13"/>
      <c r="T92" s="13"/>
      <c r="U92" s="13"/>
      <c r="V92" s="13"/>
      <c r="W92" s="13"/>
      <c r="X92" s="13"/>
      <c r="Y92" s="13"/>
      <c r="Z92" s="13"/>
    </row>
    <row r="93" ht="15.75" customHeight="1">
      <c r="A93" s="13"/>
      <c r="B93" s="230" t="s">
        <v>273</v>
      </c>
      <c r="C93" s="221">
        <f>unit*'Assumptions (P1B)'!D50</f>
        <v>0</v>
      </c>
      <c r="D93" s="273">
        <f>C93/unit</f>
        <v>0</v>
      </c>
      <c r="E93" s="274">
        <f>C93/egi</f>
        <v>0</v>
      </c>
      <c r="F93" s="13"/>
      <c r="G93" s="13"/>
      <c r="H93" s="13"/>
      <c r="I93" s="13"/>
      <c r="J93" s="13"/>
      <c r="K93" s="13"/>
      <c r="L93" s="13"/>
      <c r="M93" s="13"/>
      <c r="N93" s="13"/>
      <c r="O93" s="13"/>
      <c r="P93" s="13"/>
      <c r="Q93" s="13"/>
      <c r="R93" s="13"/>
      <c r="S93" s="13"/>
      <c r="T93" s="13"/>
      <c r="U93" s="13"/>
      <c r="V93" s="13"/>
      <c r="W93" s="13"/>
      <c r="X93" s="13"/>
      <c r="Y93" s="13"/>
      <c r="Z93" s="13"/>
    </row>
    <row r="94" ht="15.75" customHeight="1">
      <c r="A94" s="13"/>
      <c r="B94" s="283" t="s">
        <v>274</v>
      </c>
      <c r="C94" s="276">
        <f>SUM(C91:C93)</f>
        <v>37180</v>
      </c>
      <c r="D94" s="276">
        <f>C94/unit</f>
        <v>220</v>
      </c>
      <c r="E94" s="277">
        <f>C94/egi</f>
        <v>0.01411737868</v>
      </c>
      <c r="F94" s="13"/>
      <c r="G94" s="13"/>
      <c r="H94" s="13"/>
      <c r="I94" s="13"/>
      <c r="J94" s="13"/>
      <c r="K94" s="13"/>
      <c r="L94" s="13"/>
      <c r="M94" s="13"/>
      <c r="N94" s="13"/>
      <c r="O94" s="13"/>
      <c r="P94" s="13"/>
      <c r="Q94" s="13"/>
      <c r="R94" s="13"/>
      <c r="S94" s="13"/>
      <c r="T94" s="13"/>
      <c r="U94" s="13"/>
      <c r="V94" s="13"/>
      <c r="W94" s="13"/>
      <c r="X94" s="13"/>
      <c r="Y94" s="13"/>
      <c r="Z94" s="13"/>
    </row>
    <row r="95" ht="15.75" customHeight="1">
      <c r="A95" s="13"/>
      <c r="B95" s="230"/>
      <c r="C95" s="279"/>
      <c r="D95" s="279"/>
      <c r="E95" s="280"/>
      <c r="F95" s="13"/>
      <c r="G95" s="13"/>
      <c r="H95" s="13"/>
      <c r="I95" s="13"/>
      <c r="J95" s="13"/>
      <c r="K95" s="13"/>
      <c r="L95" s="13"/>
      <c r="M95" s="13"/>
      <c r="N95" s="13"/>
      <c r="O95" s="13"/>
      <c r="P95" s="13"/>
      <c r="Q95" s="13"/>
      <c r="R95" s="13"/>
      <c r="S95" s="13"/>
      <c r="T95" s="13"/>
      <c r="U95" s="13"/>
      <c r="V95" s="13"/>
      <c r="W95" s="13"/>
      <c r="X95" s="13"/>
      <c r="Y95" s="13"/>
      <c r="Z95" s="13"/>
    </row>
    <row r="96" ht="15.75" customHeight="1">
      <c r="A96" s="13"/>
      <c r="B96" s="270" t="s">
        <v>275</v>
      </c>
      <c r="C96" s="281"/>
      <c r="D96" s="281"/>
      <c r="E96" s="282"/>
      <c r="F96" s="13"/>
      <c r="G96" s="13"/>
      <c r="H96" s="13"/>
      <c r="I96" s="13"/>
      <c r="J96" s="13"/>
      <c r="K96" s="13"/>
      <c r="L96" s="13"/>
      <c r="M96" s="13"/>
      <c r="N96" s="13"/>
      <c r="O96" s="13"/>
      <c r="P96" s="13"/>
      <c r="Q96" s="13"/>
      <c r="R96" s="13"/>
      <c r="S96" s="13"/>
      <c r="T96" s="13"/>
      <c r="U96" s="13"/>
      <c r="V96" s="13"/>
      <c r="W96" s="13"/>
      <c r="X96" s="13"/>
      <c r="Y96" s="13"/>
      <c r="Z96" s="13"/>
    </row>
    <row r="97" ht="15.75" customHeight="1">
      <c r="A97" s="13"/>
      <c r="B97" s="230" t="s">
        <v>276</v>
      </c>
      <c r="C97" s="272">
        <v>175000.0</v>
      </c>
      <c r="D97" s="273">
        <f>C97/unit</f>
        <v>1035.502959</v>
      </c>
      <c r="E97" s="274">
        <f>C97/egi</f>
        <v>0.06644812448</v>
      </c>
      <c r="F97" s="13"/>
      <c r="G97" s="13"/>
      <c r="H97" s="13"/>
      <c r="I97" s="13"/>
      <c r="J97" s="13"/>
      <c r="K97" s="13"/>
      <c r="L97" s="13"/>
      <c r="M97" s="13"/>
      <c r="N97" s="13"/>
      <c r="O97" s="13"/>
      <c r="P97" s="13"/>
      <c r="Q97" s="13"/>
      <c r="R97" s="13"/>
      <c r="S97" s="13"/>
      <c r="T97" s="13"/>
      <c r="U97" s="13"/>
      <c r="V97" s="13"/>
      <c r="W97" s="13"/>
      <c r="X97" s="13"/>
      <c r="Y97" s="13"/>
      <c r="Z97" s="13"/>
    </row>
    <row r="98" ht="15.75" customHeight="1">
      <c r="A98" s="13"/>
      <c r="B98" s="230" t="s">
        <v>277</v>
      </c>
      <c r="C98" s="218">
        <f>unit*'Assumptions (P1B)'!D54</f>
        <v>10140</v>
      </c>
      <c r="D98" s="273">
        <f>C98/unit</f>
        <v>60</v>
      </c>
      <c r="E98" s="274">
        <f>C98/egi</f>
        <v>0.003850194184</v>
      </c>
      <c r="F98" s="13"/>
      <c r="G98" s="13"/>
      <c r="H98" s="13"/>
      <c r="I98" s="13"/>
      <c r="J98" s="13"/>
      <c r="K98" s="13"/>
      <c r="L98" s="13"/>
      <c r="M98" s="13"/>
      <c r="N98" s="13"/>
      <c r="O98" s="13"/>
      <c r="P98" s="13"/>
      <c r="Q98" s="13"/>
      <c r="R98" s="13"/>
      <c r="S98" s="13"/>
      <c r="T98" s="13"/>
      <c r="U98" s="13"/>
      <c r="V98" s="13"/>
      <c r="W98" s="13"/>
      <c r="X98" s="13"/>
      <c r="Y98" s="13"/>
      <c r="Z98" s="13"/>
    </row>
    <row r="99" ht="15.75" customHeight="1">
      <c r="A99" s="13"/>
      <c r="B99" s="284" t="s">
        <v>278</v>
      </c>
      <c r="C99" s="218">
        <f>unit*'Assumptions (P1B)'!D55</f>
        <v>5070</v>
      </c>
      <c r="D99" s="273">
        <f>C99/unit</f>
        <v>30</v>
      </c>
      <c r="E99" s="274">
        <f>C99/egi</f>
        <v>0.001925097092</v>
      </c>
      <c r="F99" s="13"/>
      <c r="G99" s="13"/>
      <c r="H99" s="13"/>
      <c r="I99" s="13"/>
      <c r="J99" s="13"/>
      <c r="K99" s="13"/>
      <c r="L99" s="13"/>
      <c r="M99" s="13"/>
      <c r="N99" s="13"/>
      <c r="O99" s="13"/>
      <c r="P99" s="13"/>
      <c r="Q99" s="13"/>
      <c r="R99" s="13"/>
      <c r="S99" s="13"/>
      <c r="T99" s="13"/>
      <c r="U99" s="13"/>
      <c r="V99" s="13"/>
      <c r="W99" s="13"/>
      <c r="X99" s="13"/>
      <c r="Y99" s="13"/>
      <c r="Z99" s="13"/>
    </row>
    <row r="100" ht="15.75" customHeight="1">
      <c r="A100" s="13"/>
      <c r="B100" s="230" t="s">
        <v>279</v>
      </c>
      <c r="C100" s="218">
        <f>unit*'Assumptions (P1B)'!D56</f>
        <v>50700</v>
      </c>
      <c r="D100" s="273">
        <f>C100/unit</f>
        <v>300</v>
      </c>
      <c r="E100" s="274">
        <f>C100/egi</f>
        <v>0.01925097092</v>
      </c>
      <c r="F100" s="13"/>
      <c r="G100" s="13"/>
      <c r="H100" s="13"/>
      <c r="I100" s="13"/>
      <c r="J100" s="13"/>
      <c r="K100" s="13"/>
      <c r="L100" s="13"/>
      <c r="M100" s="13"/>
      <c r="N100" s="13"/>
      <c r="O100" s="13"/>
      <c r="P100" s="13"/>
      <c r="Q100" s="13"/>
      <c r="R100" s="13"/>
      <c r="S100" s="13"/>
      <c r="T100" s="13"/>
      <c r="U100" s="13"/>
      <c r="V100" s="13"/>
      <c r="W100" s="13"/>
      <c r="X100" s="13"/>
      <c r="Y100" s="13"/>
      <c r="Z100" s="13"/>
    </row>
    <row r="101" ht="15.75" customHeight="1">
      <c r="A101" s="13"/>
      <c r="B101" s="230" t="s">
        <v>280</v>
      </c>
      <c r="C101" s="218">
        <f>unit*'Assumptions (P1B)'!D57</f>
        <v>5070</v>
      </c>
      <c r="D101" s="273">
        <f>C101/unit</f>
        <v>30</v>
      </c>
      <c r="E101" s="274">
        <f>C101/egi</f>
        <v>0.001925097092</v>
      </c>
      <c r="F101" s="13"/>
      <c r="G101" s="13"/>
      <c r="H101" s="13"/>
      <c r="I101" s="13"/>
      <c r="J101" s="13"/>
      <c r="K101" s="13"/>
      <c r="L101" s="13"/>
      <c r="M101" s="13"/>
      <c r="N101" s="13"/>
      <c r="O101" s="13"/>
      <c r="P101" s="13"/>
      <c r="Q101" s="13"/>
      <c r="R101" s="13"/>
      <c r="S101" s="13"/>
      <c r="T101" s="13"/>
      <c r="U101" s="13"/>
      <c r="V101" s="13"/>
      <c r="W101" s="13"/>
      <c r="X101" s="13"/>
      <c r="Y101" s="13"/>
      <c r="Z101" s="13"/>
    </row>
    <row r="102" ht="15.75" customHeight="1">
      <c r="A102" s="13"/>
      <c r="B102" s="230" t="s">
        <v>281</v>
      </c>
      <c r="C102" s="218">
        <f>unit*'Assumptions (P1B)'!D58</f>
        <v>10140</v>
      </c>
      <c r="D102" s="273">
        <f>C102/unit</f>
        <v>60</v>
      </c>
      <c r="E102" s="274">
        <f>C102/egi</f>
        <v>0.003850194184</v>
      </c>
      <c r="F102" s="13"/>
      <c r="G102" s="13"/>
      <c r="H102" s="13"/>
      <c r="I102" s="13"/>
      <c r="J102" s="13"/>
      <c r="K102" s="13"/>
      <c r="L102" s="13"/>
      <c r="M102" s="13"/>
      <c r="N102" s="13"/>
      <c r="O102" s="13"/>
      <c r="P102" s="13"/>
      <c r="Q102" s="13"/>
      <c r="R102" s="13"/>
      <c r="S102" s="13"/>
      <c r="T102" s="13"/>
      <c r="U102" s="13"/>
      <c r="V102" s="13"/>
      <c r="W102" s="13"/>
      <c r="X102" s="13"/>
      <c r="Y102" s="13"/>
      <c r="Z102" s="13"/>
    </row>
    <row r="103" ht="15.75" customHeight="1">
      <c r="A103" s="13"/>
      <c r="B103" s="230" t="s">
        <v>282</v>
      </c>
      <c r="C103" s="218">
        <f>unit*'Assumptions (P1B)'!D59</f>
        <v>10140</v>
      </c>
      <c r="D103" s="273">
        <f>C103/unit</f>
        <v>60</v>
      </c>
      <c r="E103" s="274">
        <f>C103/egi</f>
        <v>0.003850194184</v>
      </c>
      <c r="F103" s="13"/>
      <c r="G103" s="13"/>
      <c r="H103" s="13"/>
      <c r="I103" s="13"/>
      <c r="J103" s="13"/>
      <c r="K103" s="13"/>
      <c r="L103" s="13"/>
      <c r="M103" s="13"/>
      <c r="N103" s="13"/>
      <c r="O103" s="13"/>
      <c r="P103" s="13"/>
      <c r="Q103" s="13"/>
      <c r="R103" s="13"/>
      <c r="S103" s="13"/>
      <c r="T103" s="13"/>
      <c r="U103" s="13"/>
      <c r="V103" s="13"/>
      <c r="W103" s="13"/>
      <c r="X103" s="13"/>
      <c r="Y103" s="13"/>
      <c r="Z103" s="13"/>
    </row>
    <row r="104" ht="15.75" customHeight="1">
      <c r="A104" s="13"/>
      <c r="B104" s="230" t="s">
        <v>283</v>
      </c>
      <c r="C104" s="218">
        <f>unit*'Assumptions (P1B)'!D60</f>
        <v>5070</v>
      </c>
      <c r="D104" s="273">
        <f>C104/unit</f>
        <v>30</v>
      </c>
      <c r="E104" s="274">
        <f>C104/egi</f>
        <v>0.001925097092</v>
      </c>
      <c r="F104" s="95"/>
      <c r="G104" s="13"/>
      <c r="H104" s="13"/>
      <c r="I104" s="13"/>
      <c r="J104" s="13"/>
      <c r="K104" s="13"/>
      <c r="L104" s="13"/>
      <c r="M104" s="13"/>
      <c r="N104" s="13"/>
      <c r="O104" s="13"/>
      <c r="P104" s="13"/>
      <c r="Q104" s="13"/>
      <c r="R104" s="13"/>
      <c r="S104" s="13"/>
      <c r="T104" s="13"/>
      <c r="U104" s="13"/>
      <c r="V104" s="13"/>
      <c r="W104" s="13"/>
      <c r="X104" s="13"/>
      <c r="Y104" s="13"/>
      <c r="Z104" s="13"/>
    </row>
    <row r="105" ht="15.75" customHeight="1">
      <c r="A105" s="13"/>
      <c r="B105" s="153" t="s">
        <v>284</v>
      </c>
      <c r="C105" s="221">
        <f>unit*'Assumptions (P1B)'!D61</f>
        <v>4225</v>
      </c>
      <c r="D105" s="273">
        <f>C105/unit</f>
        <v>25</v>
      </c>
      <c r="E105" s="274">
        <f>C105/egi</f>
        <v>0.001604247577</v>
      </c>
      <c r="F105" s="13"/>
      <c r="G105" s="13"/>
      <c r="H105" s="13"/>
      <c r="I105" s="13"/>
      <c r="J105" s="13"/>
      <c r="K105" s="13"/>
      <c r="L105" s="13"/>
      <c r="M105" s="13"/>
      <c r="N105" s="13"/>
      <c r="O105" s="13"/>
      <c r="P105" s="13"/>
      <c r="Q105" s="13"/>
      <c r="R105" s="13"/>
      <c r="S105" s="13"/>
      <c r="T105" s="13"/>
      <c r="U105" s="13"/>
      <c r="V105" s="13"/>
      <c r="W105" s="13"/>
      <c r="X105" s="13"/>
      <c r="Y105" s="13"/>
      <c r="Z105" s="13"/>
    </row>
    <row r="106" ht="15.75" customHeight="1">
      <c r="A106" s="13"/>
      <c r="B106" s="275" t="s">
        <v>285</v>
      </c>
      <c r="C106" s="276">
        <f>SUM(C97:C105)</f>
        <v>275555</v>
      </c>
      <c r="D106" s="276">
        <f>C106/unit</f>
        <v>1630.502959</v>
      </c>
      <c r="E106" s="277">
        <f>C106/egi</f>
        <v>0.1046292168</v>
      </c>
      <c r="F106" s="13"/>
      <c r="G106" s="13"/>
      <c r="H106" s="13"/>
      <c r="I106" s="13"/>
      <c r="J106" s="13"/>
      <c r="K106" s="13"/>
      <c r="L106" s="13"/>
      <c r="M106" s="13"/>
      <c r="N106" s="13"/>
      <c r="O106" s="13"/>
      <c r="P106" s="13"/>
      <c r="Q106" s="13"/>
      <c r="R106" s="13"/>
      <c r="S106" s="13"/>
      <c r="T106" s="13"/>
      <c r="U106" s="13"/>
      <c r="V106" s="13"/>
      <c r="W106" s="13"/>
      <c r="X106" s="13"/>
      <c r="Y106" s="13"/>
      <c r="Z106" s="13"/>
    </row>
    <row r="107" ht="15.75" customHeight="1">
      <c r="A107" s="13"/>
      <c r="B107" s="230"/>
      <c r="C107" s="279"/>
      <c r="D107" s="279"/>
      <c r="E107" s="280"/>
      <c r="F107" s="13"/>
      <c r="G107" s="13"/>
      <c r="H107" s="13"/>
      <c r="I107" s="13"/>
      <c r="J107" s="13"/>
      <c r="K107" s="13"/>
      <c r="L107" s="13"/>
      <c r="M107" s="13"/>
      <c r="N107" s="13"/>
      <c r="O107" s="13"/>
      <c r="P107" s="13"/>
      <c r="Q107" s="13"/>
      <c r="R107" s="13"/>
      <c r="S107" s="13"/>
      <c r="T107" s="13"/>
      <c r="U107" s="13"/>
      <c r="V107" s="13"/>
      <c r="W107" s="13"/>
      <c r="X107" s="13"/>
      <c r="Y107" s="13"/>
      <c r="Z107" s="13"/>
    </row>
    <row r="108" ht="15.75" customHeight="1">
      <c r="A108" s="13"/>
      <c r="B108" s="270" t="s">
        <v>286</v>
      </c>
      <c r="C108" s="281"/>
      <c r="D108" s="281"/>
      <c r="E108" s="282"/>
      <c r="F108" s="13"/>
      <c r="G108" s="13"/>
      <c r="H108" s="13"/>
      <c r="I108" s="13"/>
      <c r="J108" s="13"/>
      <c r="K108" s="13"/>
      <c r="L108" s="13"/>
      <c r="M108" s="13"/>
      <c r="N108" s="13"/>
      <c r="O108" s="13"/>
      <c r="P108" s="13"/>
      <c r="Q108" s="13"/>
      <c r="R108" s="13"/>
      <c r="S108" s="13"/>
      <c r="T108" s="13"/>
      <c r="U108" s="13"/>
      <c r="V108" s="13"/>
      <c r="W108" s="13"/>
      <c r="X108" s="13"/>
      <c r="Y108" s="13"/>
      <c r="Z108" s="13"/>
    </row>
    <row r="109" ht="15.75" customHeight="1">
      <c r="A109" s="13"/>
      <c r="B109" s="230" t="s">
        <v>287</v>
      </c>
      <c r="C109" s="272">
        <f>'Assumptions (P1B)'!D70</f>
        <v>324343.6943</v>
      </c>
      <c r="D109" s="273">
        <f>C109/unit</f>
        <v>1919.193458</v>
      </c>
      <c r="E109" s="274">
        <f>C109/egi</f>
        <v>0.1231544581</v>
      </c>
      <c r="F109" s="95"/>
      <c r="G109" s="58"/>
      <c r="H109" s="13"/>
      <c r="I109" s="13"/>
      <c r="J109" s="13"/>
      <c r="K109" s="13"/>
      <c r="L109" s="13"/>
      <c r="M109" s="13"/>
      <c r="N109" s="13"/>
      <c r="O109" s="13"/>
      <c r="P109" s="13"/>
      <c r="Q109" s="13"/>
      <c r="R109" s="13"/>
      <c r="S109" s="13"/>
      <c r="T109" s="13"/>
      <c r="U109" s="13"/>
      <c r="V109" s="13"/>
      <c r="W109" s="13"/>
      <c r="X109" s="13"/>
      <c r="Y109" s="13"/>
      <c r="Z109" s="13"/>
    </row>
    <row r="110" ht="15.75" customHeight="1">
      <c r="A110" s="13"/>
      <c r="B110" s="153" t="s">
        <v>56</v>
      </c>
      <c r="C110" s="272">
        <f>'Assumptions (P1B)'!D71</f>
        <v>0</v>
      </c>
      <c r="D110" s="273">
        <f>C110/unit</f>
        <v>0</v>
      </c>
      <c r="E110" s="274">
        <f>C110/egi</f>
        <v>0</v>
      </c>
      <c r="F110" s="13"/>
      <c r="G110" s="13"/>
      <c r="H110" s="13"/>
      <c r="I110" s="13"/>
      <c r="J110" s="13"/>
      <c r="K110" s="13"/>
      <c r="L110" s="13"/>
      <c r="M110" s="13"/>
      <c r="N110" s="13"/>
      <c r="O110" s="13"/>
      <c r="P110" s="13"/>
      <c r="Q110" s="13"/>
      <c r="R110" s="13"/>
      <c r="S110" s="13"/>
      <c r="T110" s="13"/>
      <c r="U110" s="13"/>
      <c r="V110" s="13"/>
      <c r="W110" s="13"/>
      <c r="X110" s="13"/>
      <c r="Y110" s="13"/>
      <c r="Z110" s="13"/>
    </row>
    <row r="111" ht="15.75" customHeight="1">
      <c r="A111" s="13"/>
      <c r="B111" s="275" t="s">
        <v>288</v>
      </c>
      <c r="C111" s="276">
        <f>SUM(C109:C110)</f>
        <v>324343.6943</v>
      </c>
      <c r="D111" s="276">
        <f>C111/unit</f>
        <v>1919.193458</v>
      </c>
      <c r="E111" s="277">
        <f>C111/egi</f>
        <v>0.1231544581</v>
      </c>
      <c r="F111" s="13"/>
      <c r="G111" s="13"/>
      <c r="H111" s="13"/>
      <c r="I111" s="13"/>
      <c r="J111" s="13"/>
      <c r="K111" s="13"/>
      <c r="L111" s="13"/>
      <c r="M111" s="13"/>
      <c r="N111" s="13"/>
      <c r="O111" s="13"/>
      <c r="P111" s="13"/>
      <c r="Q111" s="13"/>
      <c r="R111" s="13"/>
      <c r="S111" s="13"/>
      <c r="T111" s="13"/>
      <c r="U111" s="13"/>
      <c r="V111" s="13"/>
      <c r="W111" s="13"/>
      <c r="X111" s="13"/>
      <c r="Y111" s="13"/>
      <c r="Z111" s="13"/>
    </row>
    <row r="112" ht="15.75" customHeight="1">
      <c r="A112" s="13"/>
      <c r="B112" s="278"/>
      <c r="C112" s="279"/>
      <c r="D112" s="279"/>
      <c r="E112" s="280"/>
      <c r="F112" s="13"/>
      <c r="G112" s="13"/>
      <c r="H112" s="13"/>
      <c r="I112" s="13"/>
      <c r="J112" s="13"/>
      <c r="K112" s="13"/>
      <c r="L112" s="13"/>
      <c r="M112" s="13"/>
      <c r="N112" s="13"/>
      <c r="O112" s="13"/>
      <c r="P112" s="13"/>
      <c r="Q112" s="13"/>
      <c r="R112" s="13"/>
      <c r="S112" s="13"/>
      <c r="T112" s="13"/>
      <c r="U112" s="13"/>
      <c r="V112" s="13"/>
      <c r="W112" s="13"/>
      <c r="X112" s="13"/>
      <c r="Y112" s="13"/>
      <c r="Z112" s="13"/>
    </row>
    <row r="113" ht="15.75" customHeight="1">
      <c r="A113" s="13"/>
      <c r="B113" s="270" t="s">
        <v>289</v>
      </c>
      <c r="C113" s="281"/>
      <c r="D113" s="281"/>
      <c r="E113" s="282"/>
      <c r="F113" s="13"/>
      <c r="G113" s="13"/>
      <c r="H113" s="13"/>
      <c r="I113" s="13"/>
      <c r="J113" s="13"/>
      <c r="K113" s="13"/>
      <c r="L113" s="13"/>
      <c r="M113" s="13"/>
      <c r="N113" s="13"/>
      <c r="O113" s="13"/>
      <c r="P113" s="13"/>
      <c r="Q113" s="13"/>
      <c r="R113" s="13"/>
      <c r="S113" s="13"/>
      <c r="T113" s="13"/>
      <c r="U113" s="13"/>
      <c r="V113" s="13"/>
      <c r="W113" s="13"/>
      <c r="X113" s="13"/>
      <c r="Y113" s="13"/>
      <c r="Z113" s="13"/>
    </row>
    <row r="114" ht="15.75" customHeight="1">
      <c r="A114" s="13"/>
      <c r="B114" s="230" t="s">
        <v>290</v>
      </c>
      <c r="C114" s="272">
        <f>unit*'Assumptions (P1B)'!D74</f>
        <v>33286.29032</v>
      </c>
      <c r="D114" s="273">
        <f>C114/unit</f>
        <v>196.9602978</v>
      </c>
      <c r="E114" s="274">
        <f>C114/egi</f>
        <v>0.01263892322</v>
      </c>
      <c r="F114" s="13"/>
      <c r="G114" s="13"/>
      <c r="H114" s="13"/>
      <c r="I114" s="13"/>
      <c r="J114" s="13"/>
      <c r="K114" s="13"/>
      <c r="L114" s="13"/>
      <c r="M114" s="13"/>
      <c r="N114" s="13"/>
      <c r="O114" s="13"/>
      <c r="P114" s="13"/>
      <c r="Q114" s="13"/>
      <c r="R114" s="13"/>
      <c r="S114" s="13"/>
      <c r="T114" s="13"/>
      <c r="U114" s="13"/>
      <c r="V114" s="13"/>
      <c r="W114" s="13"/>
      <c r="X114" s="13"/>
      <c r="Y114" s="13"/>
      <c r="Z114" s="13"/>
    </row>
    <row r="115" ht="15.75" customHeight="1">
      <c r="A115" s="13"/>
      <c r="B115" s="153" t="s">
        <v>291</v>
      </c>
      <c r="C115" s="221">
        <f>'Assumptions (P1B)'!D75*unit</f>
        <v>5070</v>
      </c>
      <c r="D115" s="273">
        <f>C115/unit</f>
        <v>30</v>
      </c>
      <c r="E115" s="274">
        <f>C115/egi</f>
        <v>0.001925097092</v>
      </c>
      <c r="F115" s="13"/>
      <c r="G115" s="13"/>
      <c r="H115" s="13"/>
      <c r="I115" s="13"/>
      <c r="J115" s="13"/>
      <c r="K115" s="13"/>
      <c r="L115" s="13"/>
      <c r="M115" s="13"/>
      <c r="N115" s="13"/>
      <c r="O115" s="13"/>
      <c r="P115" s="13"/>
      <c r="Q115" s="13"/>
      <c r="R115" s="13"/>
      <c r="S115" s="13"/>
      <c r="T115" s="13"/>
      <c r="U115" s="13"/>
      <c r="V115" s="13"/>
      <c r="W115" s="13"/>
      <c r="X115" s="13"/>
      <c r="Y115" s="13"/>
      <c r="Z115" s="13"/>
    </row>
    <row r="116" ht="15.75" customHeight="1">
      <c r="A116" s="13"/>
      <c r="B116" s="275" t="s">
        <v>292</v>
      </c>
      <c r="C116" s="276">
        <f>SUM(C114:C115)</f>
        <v>38356.29032</v>
      </c>
      <c r="D116" s="276">
        <f>C116/unit</f>
        <v>226.9602978</v>
      </c>
      <c r="E116" s="277">
        <f>C116/egi</f>
        <v>0.01456402031</v>
      </c>
      <c r="F116" s="13"/>
      <c r="G116" s="13"/>
      <c r="H116" s="13"/>
      <c r="I116" s="13"/>
      <c r="J116" s="13"/>
      <c r="K116" s="13"/>
      <c r="L116" s="13"/>
      <c r="M116" s="13"/>
      <c r="N116" s="13"/>
      <c r="O116" s="13"/>
      <c r="P116" s="13"/>
      <c r="Q116" s="13"/>
      <c r="R116" s="13"/>
      <c r="S116" s="13"/>
      <c r="T116" s="13"/>
      <c r="U116" s="13"/>
      <c r="V116" s="13"/>
      <c r="W116" s="13"/>
      <c r="X116" s="13"/>
      <c r="Y116" s="13"/>
      <c r="Z116" s="13"/>
    </row>
    <row r="117" ht="15.75" customHeight="1">
      <c r="A117" s="13"/>
      <c r="B117" s="230"/>
      <c r="C117" s="279"/>
      <c r="D117" s="279"/>
      <c r="E117" s="280"/>
      <c r="F117" s="13"/>
      <c r="G117" s="13"/>
      <c r="H117" s="13"/>
      <c r="I117" s="13"/>
      <c r="J117" s="13"/>
      <c r="K117" s="13"/>
      <c r="L117" s="13"/>
      <c r="M117" s="13"/>
      <c r="N117" s="13"/>
      <c r="O117" s="13"/>
      <c r="P117" s="13"/>
      <c r="Q117" s="13"/>
      <c r="R117" s="13"/>
      <c r="S117" s="13"/>
      <c r="T117" s="13"/>
      <c r="U117" s="13"/>
      <c r="V117" s="13"/>
      <c r="W117" s="13"/>
      <c r="X117" s="13"/>
      <c r="Y117" s="13"/>
      <c r="Z117" s="13"/>
    </row>
    <row r="118" ht="15.75" customHeight="1">
      <c r="A118" s="13"/>
      <c r="B118" s="270" t="s">
        <v>293</v>
      </c>
      <c r="C118" s="281"/>
      <c r="D118" s="281"/>
      <c r="E118" s="282"/>
      <c r="F118" s="13"/>
      <c r="G118" s="13"/>
      <c r="H118" s="13"/>
      <c r="I118" s="13"/>
      <c r="J118" s="13"/>
      <c r="K118" s="13"/>
      <c r="L118" s="13"/>
      <c r="M118" s="13"/>
      <c r="N118" s="13"/>
      <c r="O118" s="13"/>
      <c r="P118" s="13"/>
      <c r="Q118" s="13"/>
      <c r="R118" s="13"/>
      <c r="S118" s="13"/>
      <c r="T118" s="13"/>
      <c r="U118" s="13"/>
      <c r="V118" s="13"/>
      <c r="W118" s="13"/>
      <c r="X118" s="13"/>
      <c r="Y118" s="13"/>
      <c r="Z118" s="13"/>
    </row>
    <row r="119" ht="15.75" customHeight="1">
      <c r="A119" s="13"/>
      <c r="B119" s="230" t="s">
        <v>293</v>
      </c>
      <c r="C119" s="272">
        <f>'Assumptions (P1B)'!D78</f>
        <v>65000</v>
      </c>
      <c r="D119" s="273">
        <f>C119/unit</f>
        <v>384.6153846</v>
      </c>
      <c r="E119" s="274">
        <f>C119/egi</f>
        <v>0.02468073195</v>
      </c>
      <c r="F119" s="95"/>
      <c r="G119" s="13"/>
      <c r="H119" s="13"/>
      <c r="I119" s="13"/>
      <c r="J119" s="13"/>
      <c r="K119" s="13"/>
      <c r="L119" s="13"/>
      <c r="M119" s="13"/>
      <c r="N119" s="13"/>
      <c r="O119" s="13"/>
      <c r="P119" s="13"/>
      <c r="Q119" s="13"/>
      <c r="R119" s="13"/>
      <c r="S119" s="13"/>
      <c r="T119" s="13"/>
      <c r="U119" s="13"/>
      <c r="V119" s="13"/>
      <c r="W119" s="13"/>
      <c r="X119" s="13"/>
      <c r="Y119" s="13"/>
      <c r="Z119" s="13"/>
    </row>
    <row r="120" ht="15.75" customHeight="1">
      <c r="A120" s="13"/>
      <c r="B120" s="230" t="s">
        <v>294</v>
      </c>
      <c r="C120" s="272">
        <f>'Assumptions (P1B)'!D79*12</f>
        <v>66000</v>
      </c>
      <c r="D120" s="273">
        <f>C120/unit</f>
        <v>390.5325444</v>
      </c>
      <c r="E120" s="274">
        <f>C120/egi</f>
        <v>0.02506043552</v>
      </c>
      <c r="F120" s="95"/>
      <c r="G120" s="13"/>
      <c r="H120" s="13"/>
      <c r="I120" s="13"/>
      <c r="J120" s="13"/>
      <c r="K120" s="13"/>
      <c r="L120" s="13"/>
      <c r="M120" s="13"/>
      <c r="N120" s="13"/>
      <c r="O120" s="13"/>
      <c r="P120" s="13"/>
      <c r="Q120" s="13"/>
      <c r="R120" s="13"/>
      <c r="S120" s="13"/>
      <c r="T120" s="13"/>
      <c r="U120" s="13"/>
      <c r="V120" s="13"/>
      <c r="W120" s="13"/>
      <c r="X120" s="13"/>
      <c r="Y120" s="13"/>
      <c r="Z120" s="13"/>
    </row>
    <row r="121" ht="15.75" customHeight="1">
      <c r="A121" s="13"/>
      <c r="B121" s="153" t="s">
        <v>295</v>
      </c>
      <c r="C121" s="272">
        <f>'Assumptions (P1B)'!D80</f>
        <v>1000</v>
      </c>
      <c r="D121" s="273">
        <f>C121/unit</f>
        <v>5.917159763</v>
      </c>
      <c r="E121" s="274">
        <f>C121/egi</f>
        <v>0.0003797035685</v>
      </c>
      <c r="F121" s="13"/>
      <c r="G121" s="13"/>
      <c r="H121" s="13"/>
      <c r="I121" s="13"/>
      <c r="J121" s="13"/>
      <c r="K121" s="13"/>
      <c r="L121" s="13"/>
      <c r="M121" s="13"/>
      <c r="N121" s="13"/>
      <c r="O121" s="13"/>
      <c r="P121" s="13"/>
      <c r="Q121" s="13"/>
      <c r="R121" s="13"/>
      <c r="S121" s="13"/>
      <c r="T121" s="13"/>
      <c r="U121" s="13"/>
      <c r="V121" s="13"/>
      <c r="W121" s="13"/>
      <c r="X121" s="13"/>
      <c r="Y121" s="13"/>
      <c r="Z121" s="13"/>
    </row>
    <row r="122" ht="15.75" customHeight="1">
      <c r="A122" s="13"/>
      <c r="B122" s="275" t="s">
        <v>296</v>
      </c>
      <c r="C122" s="276">
        <f>SUM(C119:C121)</f>
        <v>132000</v>
      </c>
      <c r="D122" s="276">
        <f>C122/unit</f>
        <v>781.0650888</v>
      </c>
      <c r="E122" s="277">
        <f>C122/egi</f>
        <v>0.05012087104</v>
      </c>
      <c r="F122" s="13"/>
      <c r="G122" s="13"/>
      <c r="H122" s="13"/>
      <c r="I122" s="13"/>
      <c r="J122" s="13"/>
      <c r="K122" s="13"/>
      <c r="L122" s="13"/>
      <c r="M122" s="13"/>
      <c r="N122" s="13"/>
      <c r="O122" s="13"/>
      <c r="P122" s="13"/>
      <c r="Q122" s="13"/>
      <c r="R122" s="13"/>
      <c r="S122" s="13"/>
      <c r="T122" s="13"/>
      <c r="U122" s="13"/>
      <c r="V122" s="13"/>
      <c r="W122" s="13"/>
      <c r="X122" s="13"/>
      <c r="Y122" s="13"/>
      <c r="Z122" s="13"/>
    </row>
    <row r="123" ht="15.75" customHeight="1">
      <c r="A123" s="13"/>
      <c r="B123" s="285"/>
      <c r="C123" s="286" t="s">
        <v>297</v>
      </c>
      <c r="D123" s="287" t="s">
        <v>297</v>
      </c>
      <c r="E123" s="288"/>
      <c r="F123" s="13"/>
      <c r="G123" s="13"/>
      <c r="H123" s="13"/>
      <c r="I123" s="13"/>
      <c r="J123" s="13"/>
      <c r="K123" s="13"/>
      <c r="L123" s="13"/>
      <c r="M123" s="13"/>
      <c r="N123" s="13"/>
      <c r="O123" s="13"/>
      <c r="P123" s="13"/>
      <c r="Q123" s="13"/>
      <c r="R123" s="13"/>
      <c r="S123" s="13"/>
      <c r="T123" s="13"/>
      <c r="U123" s="13"/>
      <c r="V123" s="13"/>
      <c r="W123" s="13"/>
      <c r="X123" s="13"/>
      <c r="Y123" s="13"/>
      <c r="Z123" s="13"/>
    </row>
    <row r="124" ht="15.75" customHeight="1">
      <c r="A124" s="13"/>
      <c r="B124" s="289" t="s">
        <v>298</v>
      </c>
      <c r="C124" s="290">
        <f>SUM(C88+C94+C106+C111+C116+C122)</f>
        <v>1059602.945</v>
      </c>
      <c r="D124" s="291">
        <f>C124/unit</f>
        <v>6269.839911</v>
      </c>
      <c r="E124" s="292">
        <f>C124/egi</f>
        <v>0.4023350194</v>
      </c>
      <c r="F124" s="95"/>
      <c r="G124" s="13"/>
      <c r="H124" s="13"/>
      <c r="I124" s="13"/>
      <c r="J124" s="13"/>
      <c r="K124" s="13"/>
      <c r="L124" s="13"/>
      <c r="M124" s="13"/>
      <c r="N124" s="13"/>
      <c r="O124" s="13"/>
      <c r="P124" s="13"/>
      <c r="Q124" s="13"/>
      <c r="R124" s="13"/>
      <c r="S124" s="13"/>
      <c r="T124" s="13"/>
      <c r="U124" s="13"/>
      <c r="V124" s="13"/>
      <c r="W124" s="13"/>
      <c r="X124" s="13"/>
      <c r="Y124" s="13"/>
      <c r="Z124" s="13"/>
    </row>
    <row r="125" ht="15.75" customHeight="1">
      <c r="A125" s="13"/>
      <c r="B125" s="230"/>
      <c r="C125" s="279"/>
      <c r="D125" s="293"/>
      <c r="E125" s="294"/>
      <c r="F125" s="13"/>
      <c r="G125" s="13"/>
      <c r="H125" s="13"/>
      <c r="I125" s="13"/>
      <c r="J125" s="13"/>
      <c r="K125" s="13"/>
      <c r="L125" s="13"/>
      <c r="M125" s="13"/>
      <c r="N125" s="13"/>
      <c r="O125" s="13"/>
      <c r="P125" s="13"/>
      <c r="Q125" s="13"/>
      <c r="R125" s="13"/>
      <c r="S125" s="13"/>
      <c r="T125" s="13"/>
      <c r="U125" s="13"/>
      <c r="V125" s="13"/>
      <c r="W125" s="13"/>
      <c r="X125" s="13"/>
      <c r="Y125" s="13"/>
      <c r="Z125" s="13"/>
    </row>
    <row r="126" ht="15.75" customHeight="1">
      <c r="A126" s="13"/>
      <c r="B126" s="295" t="s">
        <v>141</v>
      </c>
      <c r="C126" s="296">
        <f>unit*'Assumptions (P1B)'!D83</f>
        <v>42250</v>
      </c>
      <c r="D126" s="297">
        <f>C126/unit</f>
        <v>250</v>
      </c>
      <c r="E126" s="277">
        <f>C126/egi</f>
        <v>0.01604247577</v>
      </c>
      <c r="F126" s="13"/>
      <c r="G126" s="13"/>
      <c r="H126" s="13"/>
      <c r="I126" s="13"/>
      <c r="J126" s="13"/>
      <c r="K126" s="13"/>
      <c r="L126" s="13"/>
      <c r="M126" s="13"/>
      <c r="N126" s="13"/>
      <c r="O126" s="13"/>
      <c r="P126" s="13"/>
      <c r="Q126" s="13"/>
      <c r="R126" s="13"/>
      <c r="S126" s="13"/>
      <c r="T126" s="13"/>
      <c r="U126" s="13"/>
      <c r="V126" s="13"/>
      <c r="W126" s="13"/>
      <c r="X126" s="13"/>
      <c r="Y126" s="13"/>
      <c r="Z126" s="13"/>
    </row>
    <row r="127" ht="15.75" customHeight="1">
      <c r="A127" s="13"/>
      <c r="B127" s="298"/>
      <c r="C127" s="299"/>
      <c r="D127" s="300"/>
      <c r="E127" s="301"/>
      <c r="F127" s="13"/>
      <c r="G127" s="13"/>
      <c r="H127" s="13"/>
      <c r="I127" s="13"/>
      <c r="J127" s="13"/>
      <c r="K127" s="13"/>
      <c r="L127" s="13"/>
      <c r="M127" s="13"/>
      <c r="N127" s="13"/>
      <c r="O127" s="13"/>
      <c r="P127" s="13"/>
      <c r="Q127" s="13"/>
      <c r="R127" s="13"/>
      <c r="S127" s="13"/>
      <c r="T127" s="13"/>
      <c r="U127" s="13"/>
      <c r="V127" s="13"/>
      <c r="W127" s="13"/>
      <c r="X127" s="13"/>
      <c r="Y127" s="13"/>
      <c r="Z127" s="13"/>
    </row>
    <row r="128" ht="30.75" customHeight="1">
      <c r="A128" s="13"/>
      <c r="B128" s="302" t="s">
        <v>299</v>
      </c>
      <c r="C128" s="303">
        <f>C124+C126</f>
        <v>1101852.945</v>
      </c>
      <c r="D128" s="304">
        <f>totalopex/unit</f>
        <v>6519.839911</v>
      </c>
      <c r="E128" s="305">
        <f>C128/egi</f>
        <v>0.4183774951</v>
      </c>
      <c r="F128" s="13"/>
      <c r="G128" s="13"/>
      <c r="H128" s="13"/>
      <c r="I128" s="13"/>
      <c r="J128" s="13"/>
      <c r="K128" s="13"/>
      <c r="L128" s="13"/>
      <c r="M128" s="13"/>
      <c r="N128" s="13"/>
      <c r="O128" s="13"/>
      <c r="P128" s="13"/>
      <c r="Q128" s="13"/>
      <c r="R128" s="13"/>
      <c r="S128" s="13"/>
      <c r="T128" s="13"/>
      <c r="U128" s="13"/>
      <c r="V128" s="13"/>
      <c r="W128" s="13"/>
      <c r="X128" s="13"/>
      <c r="Y128" s="13"/>
      <c r="Z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5.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5.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5.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5.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5.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5.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5.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5.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5.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5.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5.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5.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5.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5.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5.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5.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5.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5.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5.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5.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5.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5.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5.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5.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5.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5.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5.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5.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5.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5.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5.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5.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5.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5.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5.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5.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5.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5.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5.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5.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5.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5.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5.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5.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5.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5.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5.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5.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5.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5.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5.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5.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5.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5.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5.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5.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5.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5.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5.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5.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5.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5.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5.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5.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5.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5.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5.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5.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5.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5.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5.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5.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5.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5.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5.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5.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5.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5.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5.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5.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5.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5.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5.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5.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5.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5.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5.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5.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5.7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2:H2"/>
    <mergeCell ref="B8:H8"/>
    <mergeCell ref="B78:H78"/>
  </mergeCell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4C6E7"/>
    <pageSetUpPr/>
  </sheetPr>
  <sheetViews>
    <sheetView workbookViewId="0"/>
  </sheetViews>
  <sheetFormatPr customHeight="1" defaultColWidth="12.63" defaultRowHeight="15.0"/>
  <cols>
    <col customWidth="1" min="1" max="1" width="2.63"/>
    <col customWidth="1" min="2" max="2" width="8.0"/>
    <col customWidth="1" min="3" max="3" width="30.38"/>
    <col customWidth="1" min="4" max="4" width="4.5"/>
    <col customWidth="1" min="5" max="14" width="12.88"/>
    <col customWidth="1" min="15" max="15" width="2.63"/>
    <col customWidth="1" min="16" max="17" width="12.88"/>
    <col customWidth="1" min="18" max="27" width="8.0"/>
  </cols>
  <sheetData>
    <row r="1" ht="9.0" customHeight="1">
      <c r="A1" s="13"/>
      <c r="B1" s="13"/>
      <c r="C1" s="13"/>
      <c r="D1" s="13"/>
      <c r="E1" s="13"/>
      <c r="F1" s="13"/>
      <c r="G1" s="13"/>
      <c r="H1" s="13"/>
      <c r="I1" s="13"/>
      <c r="J1" s="13"/>
      <c r="K1" s="13"/>
      <c r="L1" s="13"/>
      <c r="M1" s="13"/>
      <c r="N1" s="13"/>
      <c r="O1" s="13"/>
      <c r="P1" s="13"/>
      <c r="Q1" s="13"/>
      <c r="R1" s="13"/>
      <c r="S1" s="13"/>
      <c r="T1" s="13"/>
      <c r="U1" s="13"/>
      <c r="V1" s="13"/>
      <c r="W1" s="13"/>
      <c r="X1" s="13"/>
      <c r="Y1" s="13"/>
      <c r="Z1" s="13"/>
      <c r="AA1" s="13"/>
    </row>
    <row r="2">
      <c r="A2" s="13"/>
      <c r="B2" s="36" t="s">
        <v>300</v>
      </c>
      <c r="C2" s="37"/>
      <c r="D2" s="37"/>
      <c r="E2" s="37"/>
      <c r="F2" s="37"/>
      <c r="G2" s="37"/>
      <c r="H2" s="37"/>
      <c r="I2" s="37"/>
      <c r="J2" s="13"/>
      <c r="K2" s="39" t="s">
        <v>44</v>
      </c>
      <c r="L2" s="39"/>
      <c r="M2" s="13"/>
      <c r="N2" s="13"/>
      <c r="O2" s="13"/>
      <c r="P2" s="13"/>
      <c r="Q2" s="13"/>
      <c r="R2" s="13"/>
      <c r="S2" s="13"/>
      <c r="T2" s="13"/>
      <c r="U2" s="13"/>
      <c r="V2" s="13"/>
      <c r="W2" s="13"/>
      <c r="X2" s="13"/>
      <c r="Y2" s="13"/>
      <c r="Z2" s="13"/>
      <c r="AA2" s="13"/>
    </row>
    <row r="3">
      <c r="A3" s="13"/>
      <c r="B3" s="13"/>
      <c r="C3" s="13"/>
      <c r="D3" s="13"/>
      <c r="E3" s="13"/>
      <c r="F3" s="13"/>
      <c r="G3" s="13"/>
      <c r="H3" s="13"/>
      <c r="I3" s="13"/>
      <c r="J3" s="13"/>
      <c r="K3" s="13"/>
      <c r="L3" s="13"/>
      <c r="M3" s="13"/>
      <c r="N3" s="13"/>
      <c r="O3" s="13"/>
      <c r="P3" s="13"/>
      <c r="Q3" s="13"/>
      <c r="R3" s="13"/>
      <c r="S3" s="13"/>
      <c r="T3" s="13"/>
      <c r="U3" s="13"/>
      <c r="V3" s="13"/>
      <c r="W3" s="13"/>
      <c r="X3" s="13"/>
      <c r="Y3" s="13"/>
      <c r="Z3" s="13"/>
      <c r="AA3" s="13"/>
    </row>
    <row r="4">
      <c r="A4" s="306"/>
      <c r="B4" s="306"/>
      <c r="C4" s="307" t="s">
        <v>301</v>
      </c>
      <c r="D4" s="308"/>
      <c r="E4" s="309"/>
      <c r="F4" s="306"/>
      <c r="G4" s="306"/>
      <c r="H4" s="306"/>
      <c r="I4" s="306"/>
      <c r="J4" s="306"/>
      <c r="K4" s="306"/>
      <c r="L4" s="306"/>
      <c r="M4" s="306"/>
      <c r="N4" s="306"/>
      <c r="O4" s="306"/>
      <c r="P4" s="306"/>
      <c r="Q4" s="306"/>
      <c r="R4" s="306"/>
      <c r="S4" s="306"/>
      <c r="T4" s="306"/>
      <c r="U4" s="306"/>
      <c r="V4" s="306"/>
      <c r="W4" s="306"/>
      <c r="X4" s="306"/>
      <c r="Y4" s="306"/>
      <c r="Z4" s="306"/>
      <c r="AA4" s="306"/>
    </row>
    <row r="5">
      <c r="A5" s="306"/>
      <c r="B5" s="306"/>
      <c r="C5" s="259" t="str">
        <f>'Income &amp; Expenses (P1B)'!B66</f>
        <v>Residential Vacancy Rate &amp; Credit Loss</v>
      </c>
      <c r="D5" s="258"/>
      <c r="E5" s="310">
        <f>'Income &amp; Expenses (P1B)'!C66</f>
        <v>0.05</v>
      </c>
      <c r="F5" s="311" t="s">
        <v>302</v>
      </c>
      <c r="G5" s="306"/>
      <c r="H5" s="306"/>
      <c r="I5" s="306"/>
      <c r="J5" s="306"/>
      <c r="K5" s="306"/>
      <c r="L5" s="306"/>
      <c r="M5" s="306"/>
      <c r="N5" s="306"/>
      <c r="O5" s="306"/>
      <c r="P5" s="306"/>
      <c r="Q5" s="306"/>
      <c r="R5" s="306"/>
      <c r="S5" s="306"/>
      <c r="T5" s="306"/>
      <c r="U5" s="306"/>
      <c r="V5" s="306"/>
      <c r="W5" s="306"/>
      <c r="X5" s="306"/>
      <c r="Y5" s="306"/>
      <c r="Z5" s="306"/>
      <c r="AA5" s="306"/>
    </row>
    <row r="6">
      <c r="A6" s="306"/>
      <c r="B6" s="306"/>
      <c r="C6" s="259" t="str">
        <f>'Income &amp; Expenses (P1B)'!B70</f>
        <v>Commercial Vacancy Rate</v>
      </c>
      <c r="D6" s="258"/>
      <c r="E6" s="310">
        <f>'Income &amp; Expenses (P1B)'!C70</f>
        <v>0</v>
      </c>
      <c r="F6" s="311" t="s">
        <v>302</v>
      </c>
      <c r="G6" s="306"/>
      <c r="H6" s="306"/>
      <c r="I6" s="306"/>
      <c r="J6" s="306"/>
      <c r="K6" s="306"/>
      <c r="L6" s="306"/>
      <c r="M6" s="306"/>
      <c r="N6" s="306"/>
      <c r="O6" s="306"/>
      <c r="P6" s="306"/>
      <c r="Q6" s="306"/>
      <c r="R6" s="306"/>
      <c r="S6" s="306"/>
      <c r="T6" s="306"/>
      <c r="U6" s="306"/>
      <c r="V6" s="306"/>
      <c r="W6" s="306"/>
      <c r="X6" s="306"/>
      <c r="Y6" s="306"/>
      <c r="Z6" s="306"/>
      <c r="AA6" s="306"/>
    </row>
    <row r="7">
      <c r="A7" s="306"/>
      <c r="B7" s="306"/>
      <c r="C7" s="259" t="s">
        <v>303</v>
      </c>
      <c r="D7" s="258"/>
      <c r="E7" s="312">
        <v>0.02</v>
      </c>
      <c r="F7" s="306"/>
      <c r="G7" s="306"/>
      <c r="H7" s="306"/>
      <c r="I7" s="306"/>
      <c r="J7" s="306"/>
      <c r="K7" s="306"/>
      <c r="L7" s="306"/>
      <c r="M7" s="306"/>
      <c r="N7" s="306"/>
      <c r="O7" s="306"/>
      <c r="P7" s="306"/>
      <c r="Q7" s="306"/>
      <c r="R7" s="306"/>
      <c r="S7" s="306"/>
      <c r="T7" s="306"/>
      <c r="U7" s="306"/>
      <c r="V7" s="306"/>
      <c r="W7" s="306"/>
      <c r="X7" s="306"/>
      <c r="Y7" s="306"/>
      <c r="Z7" s="306"/>
      <c r="AA7" s="306"/>
    </row>
    <row r="8">
      <c r="A8" s="306"/>
      <c r="B8" s="306"/>
      <c r="C8" s="259" t="s">
        <v>304</v>
      </c>
      <c r="D8" s="258"/>
      <c r="E8" s="312">
        <v>0.02</v>
      </c>
      <c r="F8" s="306"/>
      <c r="G8" s="306"/>
      <c r="H8" s="306"/>
      <c r="I8" s="306"/>
      <c r="J8" s="306"/>
      <c r="K8" s="306"/>
      <c r="L8" s="306"/>
      <c r="M8" s="306"/>
      <c r="N8" s="306"/>
      <c r="O8" s="306"/>
      <c r="P8" s="306"/>
      <c r="Q8" s="306"/>
      <c r="R8" s="306"/>
      <c r="S8" s="306"/>
      <c r="T8" s="306"/>
      <c r="U8" s="306"/>
      <c r="V8" s="306"/>
      <c r="W8" s="306"/>
      <c r="X8" s="306"/>
      <c r="Y8" s="306"/>
      <c r="Z8" s="306"/>
      <c r="AA8" s="306"/>
    </row>
    <row r="9">
      <c r="A9" s="306"/>
      <c r="B9" s="306"/>
      <c r="C9" s="259" t="s">
        <v>305</v>
      </c>
      <c r="D9" s="258"/>
      <c r="E9" s="312">
        <v>0.03</v>
      </c>
      <c r="F9" s="306"/>
      <c r="G9" s="306"/>
      <c r="H9" s="306"/>
      <c r="I9" s="306"/>
      <c r="J9" s="306"/>
      <c r="K9" s="306"/>
      <c r="L9" s="306"/>
      <c r="M9" s="306"/>
      <c r="N9" s="306"/>
      <c r="O9" s="306"/>
      <c r="P9" s="306"/>
      <c r="Q9" s="306"/>
      <c r="R9" s="306"/>
      <c r="S9" s="306"/>
      <c r="T9" s="306"/>
      <c r="U9" s="306"/>
      <c r="V9" s="306"/>
      <c r="W9" s="306"/>
      <c r="X9" s="306"/>
      <c r="Y9" s="306"/>
      <c r="Z9" s="306"/>
      <c r="AA9" s="306"/>
    </row>
    <row r="10">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row>
    <row r="11" ht="15.75" customHeight="1">
      <c r="A11" s="13"/>
      <c r="B11" s="13"/>
      <c r="C11" s="174"/>
      <c r="D11" s="313"/>
      <c r="E11" s="314" t="s">
        <v>306</v>
      </c>
      <c r="F11" s="314" t="s">
        <v>307</v>
      </c>
      <c r="G11" s="314" t="s">
        <v>308</v>
      </c>
      <c r="H11" s="314" t="s">
        <v>309</v>
      </c>
      <c r="I11" s="314" t="s">
        <v>310</v>
      </c>
      <c r="J11" s="314" t="s">
        <v>311</v>
      </c>
      <c r="K11" s="314" t="s">
        <v>312</v>
      </c>
      <c r="L11" s="314" t="s">
        <v>313</v>
      </c>
      <c r="M11" s="314" t="s">
        <v>314</v>
      </c>
      <c r="N11" s="315" t="s">
        <v>315</v>
      </c>
      <c r="O11" s="200"/>
      <c r="P11" s="316" t="s">
        <v>316</v>
      </c>
      <c r="Q11" s="315" t="s">
        <v>317</v>
      </c>
      <c r="R11" s="13"/>
      <c r="S11" s="13"/>
      <c r="T11" s="13"/>
      <c r="U11" s="13"/>
      <c r="V11" s="13"/>
      <c r="W11" s="13"/>
      <c r="X11" s="13"/>
      <c r="Y11" s="13"/>
      <c r="Z11" s="13"/>
      <c r="AA11" s="13"/>
    </row>
    <row r="12">
      <c r="A12" s="13"/>
      <c r="B12" s="317" t="s">
        <v>318</v>
      </c>
      <c r="C12" s="318" t="str">
        <f>'Income &amp; Expenses (P1B)'!B65</f>
        <v>Potential Gross Rental Revenue</v>
      </c>
      <c r="D12" s="319"/>
      <c r="E12" s="320">
        <f>'Income &amp; Expenses (P1B)'!H38</f>
        <v>2761572</v>
      </c>
      <c r="F12" s="320">
        <f t="shared" ref="F12:N12" si="1">E12*(1+$E$7)</f>
        <v>2816803.44</v>
      </c>
      <c r="G12" s="320">
        <f t="shared" si="1"/>
        <v>2873139.509</v>
      </c>
      <c r="H12" s="320">
        <f t="shared" si="1"/>
        <v>2930602.299</v>
      </c>
      <c r="I12" s="320">
        <f t="shared" si="1"/>
        <v>2989214.345</v>
      </c>
      <c r="J12" s="320">
        <f t="shared" si="1"/>
        <v>3048998.632</v>
      </c>
      <c r="K12" s="320">
        <f t="shared" si="1"/>
        <v>3109978.604</v>
      </c>
      <c r="L12" s="320">
        <f t="shared" si="1"/>
        <v>3172178.177</v>
      </c>
      <c r="M12" s="320">
        <f t="shared" si="1"/>
        <v>3235621.74</v>
      </c>
      <c r="N12" s="321">
        <f t="shared" si="1"/>
        <v>3300334.175</v>
      </c>
      <c r="O12" s="322"/>
      <c r="P12" s="323">
        <f>N12*(1+$E$7)^5</f>
        <v>3643835.607</v>
      </c>
      <c r="Q12" s="321">
        <f>N12*(1+$E$7)^10</f>
        <v>4023088.943</v>
      </c>
      <c r="R12" s="13"/>
      <c r="S12" s="13"/>
      <c r="T12" s="13"/>
      <c r="U12" s="13"/>
      <c r="V12" s="13"/>
      <c r="W12" s="13"/>
      <c r="X12" s="13"/>
      <c r="Y12" s="13"/>
      <c r="Z12" s="13"/>
      <c r="AA12" s="13"/>
    </row>
    <row r="13">
      <c r="A13" s="13"/>
      <c r="B13" s="168"/>
      <c r="C13" s="230" t="str">
        <f>'Income &amp; Expenses (P1B)'!B66</f>
        <v>Residential Vacancy Rate &amp; Credit Loss</v>
      </c>
      <c r="D13" s="13"/>
      <c r="E13" s="322">
        <f>'Income &amp; Expenses (P1B)'!D66</f>
        <v>-138078.6</v>
      </c>
      <c r="F13" s="322">
        <f t="shared" ref="F13:N13" si="2">-F12*$E$5</f>
        <v>-140840.172</v>
      </c>
      <c r="G13" s="322">
        <f t="shared" si="2"/>
        <v>-143656.9754</v>
      </c>
      <c r="H13" s="322">
        <f t="shared" si="2"/>
        <v>-146530.1149</v>
      </c>
      <c r="I13" s="322">
        <f t="shared" si="2"/>
        <v>-149460.7172</v>
      </c>
      <c r="J13" s="322">
        <f t="shared" si="2"/>
        <v>-152449.9316</v>
      </c>
      <c r="K13" s="322">
        <f t="shared" si="2"/>
        <v>-155498.9302</v>
      </c>
      <c r="L13" s="322">
        <f t="shared" si="2"/>
        <v>-158608.9088</v>
      </c>
      <c r="M13" s="322">
        <f t="shared" si="2"/>
        <v>-161781.087</v>
      </c>
      <c r="N13" s="322">
        <f t="shared" si="2"/>
        <v>-165016.7087</v>
      </c>
      <c r="O13" s="322"/>
      <c r="P13" s="324">
        <f t="shared" ref="P13:Q13" si="3">-P12*$E$5</f>
        <v>-182191.7803</v>
      </c>
      <c r="Q13" s="325">
        <f t="shared" si="3"/>
        <v>-201154.4472</v>
      </c>
      <c r="R13" s="13"/>
      <c r="S13" s="13"/>
      <c r="T13" s="13"/>
      <c r="U13" s="13"/>
      <c r="V13" s="13"/>
      <c r="W13" s="13"/>
      <c r="X13" s="13"/>
      <c r="Y13" s="13"/>
      <c r="Z13" s="13"/>
      <c r="AA13" s="13"/>
    </row>
    <row r="14">
      <c r="A14" s="13"/>
      <c r="B14" s="168"/>
      <c r="C14" s="172" t="s">
        <v>319</v>
      </c>
      <c r="D14" s="326"/>
      <c r="E14" s="327">
        <f t="shared" ref="E14:N14" si="4">SUM(E12:E13)</f>
        <v>2623493.4</v>
      </c>
      <c r="F14" s="327">
        <f t="shared" si="4"/>
        <v>2675963.268</v>
      </c>
      <c r="G14" s="327">
        <f t="shared" si="4"/>
        <v>2729482.533</v>
      </c>
      <c r="H14" s="327">
        <f t="shared" si="4"/>
        <v>2784072.184</v>
      </c>
      <c r="I14" s="327">
        <f t="shared" si="4"/>
        <v>2839753.628</v>
      </c>
      <c r="J14" s="327">
        <f t="shared" si="4"/>
        <v>2896548.7</v>
      </c>
      <c r="K14" s="327">
        <f t="shared" si="4"/>
        <v>2954479.674</v>
      </c>
      <c r="L14" s="327">
        <f t="shared" si="4"/>
        <v>3013569.268</v>
      </c>
      <c r="M14" s="327">
        <f t="shared" si="4"/>
        <v>3073840.653</v>
      </c>
      <c r="N14" s="328">
        <f t="shared" si="4"/>
        <v>3135317.466</v>
      </c>
      <c r="O14" s="322"/>
      <c r="P14" s="329">
        <f t="shared" ref="P14:Q14" si="5">SUM(P12:P13)</f>
        <v>3461643.826</v>
      </c>
      <c r="Q14" s="328">
        <f t="shared" si="5"/>
        <v>3821934.496</v>
      </c>
      <c r="R14" s="13"/>
      <c r="S14" s="13"/>
      <c r="T14" s="13"/>
      <c r="U14" s="13"/>
      <c r="V14" s="13"/>
      <c r="W14" s="13"/>
      <c r="X14" s="13"/>
      <c r="Y14" s="13"/>
      <c r="Z14" s="13"/>
      <c r="AA14" s="13"/>
    </row>
    <row r="15">
      <c r="A15" s="13"/>
      <c r="B15" s="168"/>
      <c r="C15" s="230"/>
      <c r="D15" s="13"/>
      <c r="E15" s="322"/>
      <c r="F15" s="322"/>
      <c r="G15" s="322"/>
      <c r="H15" s="322"/>
      <c r="I15" s="322"/>
      <c r="J15" s="322"/>
      <c r="K15" s="322"/>
      <c r="L15" s="322"/>
      <c r="M15" s="322"/>
      <c r="N15" s="325"/>
      <c r="O15" s="322"/>
      <c r="P15" s="324"/>
      <c r="Q15" s="325"/>
      <c r="R15" s="13"/>
      <c r="S15" s="13"/>
      <c r="T15" s="13"/>
      <c r="U15" s="13"/>
      <c r="V15" s="13"/>
      <c r="W15" s="13"/>
      <c r="X15" s="13"/>
      <c r="Y15" s="13"/>
      <c r="Z15" s="13"/>
      <c r="AA15" s="13"/>
    </row>
    <row r="16">
      <c r="A16" s="13"/>
      <c r="B16" s="168"/>
      <c r="C16" s="230" t="str">
        <f>'Income &amp; Expenses (P1B)'!B69</f>
        <v>Potential Gross Commercial Revenue</v>
      </c>
      <c r="D16" s="13"/>
      <c r="E16" s="330">
        <f>'Income &amp; Expenses (P1B)'!D69</f>
        <v>0</v>
      </c>
      <c r="F16" s="322">
        <f t="shared" ref="F16:N16" si="6">E16*(1+$E$8)</f>
        <v>0</v>
      </c>
      <c r="G16" s="322">
        <f t="shared" si="6"/>
        <v>0</v>
      </c>
      <c r="H16" s="322">
        <f t="shared" si="6"/>
        <v>0</v>
      </c>
      <c r="I16" s="322">
        <f t="shared" si="6"/>
        <v>0</v>
      </c>
      <c r="J16" s="322">
        <f t="shared" si="6"/>
        <v>0</v>
      </c>
      <c r="K16" s="322">
        <f t="shared" si="6"/>
        <v>0</v>
      </c>
      <c r="L16" s="322">
        <f t="shared" si="6"/>
        <v>0</v>
      </c>
      <c r="M16" s="322">
        <f t="shared" si="6"/>
        <v>0</v>
      </c>
      <c r="N16" s="325">
        <f t="shared" si="6"/>
        <v>0</v>
      </c>
      <c r="O16" s="322"/>
      <c r="P16" s="324">
        <f>N16*(1+$E$8)^5</f>
        <v>0</v>
      </c>
      <c r="Q16" s="325">
        <f>N16*(1+$E$8)^10</f>
        <v>0</v>
      </c>
      <c r="R16" s="13"/>
      <c r="S16" s="13"/>
      <c r="T16" s="13"/>
      <c r="U16" s="13"/>
      <c r="V16" s="13"/>
      <c r="W16" s="13"/>
      <c r="X16" s="13"/>
      <c r="Y16" s="13"/>
      <c r="Z16" s="13"/>
      <c r="AA16" s="13"/>
    </row>
    <row r="17">
      <c r="A17" s="13"/>
      <c r="B17" s="168"/>
      <c r="C17" s="230" t="str">
        <f>'Income &amp; Expenses (P1B)'!B70</f>
        <v>Commercial Vacancy Rate</v>
      </c>
      <c r="D17" s="13"/>
      <c r="E17" s="330">
        <f>'Income &amp; Expenses (P1B)'!D70</f>
        <v>0</v>
      </c>
      <c r="F17" s="330">
        <f t="shared" ref="F17:N17" si="7">F16*$E$6</f>
        <v>0</v>
      </c>
      <c r="G17" s="330">
        <f t="shared" si="7"/>
        <v>0</v>
      </c>
      <c r="H17" s="330">
        <f t="shared" si="7"/>
        <v>0</v>
      </c>
      <c r="I17" s="330">
        <f t="shared" si="7"/>
        <v>0</v>
      </c>
      <c r="J17" s="330">
        <f t="shared" si="7"/>
        <v>0</v>
      </c>
      <c r="K17" s="330">
        <f t="shared" si="7"/>
        <v>0</v>
      </c>
      <c r="L17" s="330">
        <f t="shared" si="7"/>
        <v>0</v>
      </c>
      <c r="M17" s="330">
        <f t="shared" si="7"/>
        <v>0</v>
      </c>
      <c r="N17" s="331">
        <f t="shared" si="7"/>
        <v>0</v>
      </c>
      <c r="O17" s="322"/>
      <c r="P17" s="332">
        <f t="shared" ref="P17:Q17" si="8">P16*$E$6</f>
        <v>0</v>
      </c>
      <c r="Q17" s="331">
        <f t="shared" si="8"/>
        <v>0</v>
      </c>
      <c r="R17" s="13"/>
      <c r="S17" s="13"/>
      <c r="T17" s="13"/>
      <c r="U17" s="13"/>
      <c r="V17" s="13"/>
      <c r="W17" s="13"/>
      <c r="X17" s="13"/>
      <c r="Y17" s="13"/>
      <c r="Z17" s="13"/>
      <c r="AA17" s="13"/>
    </row>
    <row r="18">
      <c r="A18" s="13"/>
      <c r="B18" s="168"/>
      <c r="C18" s="172" t="s">
        <v>320</v>
      </c>
      <c r="D18" s="326"/>
      <c r="E18" s="327">
        <f t="shared" ref="E18:N18" si="9">SUM(E16:E17)</f>
        <v>0</v>
      </c>
      <c r="F18" s="327">
        <f t="shared" si="9"/>
        <v>0</v>
      </c>
      <c r="G18" s="327">
        <f t="shared" si="9"/>
        <v>0</v>
      </c>
      <c r="H18" s="327">
        <f t="shared" si="9"/>
        <v>0</v>
      </c>
      <c r="I18" s="327">
        <f t="shared" si="9"/>
        <v>0</v>
      </c>
      <c r="J18" s="327">
        <f t="shared" si="9"/>
        <v>0</v>
      </c>
      <c r="K18" s="327">
        <f t="shared" si="9"/>
        <v>0</v>
      </c>
      <c r="L18" s="327">
        <f t="shared" si="9"/>
        <v>0</v>
      </c>
      <c r="M18" s="327">
        <f t="shared" si="9"/>
        <v>0</v>
      </c>
      <c r="N18" s="328">
        <f t="shared" si="9"/>
        <v>0</v>
      </c>
      <c r="O18" s="322"/>
      <c r="P18" s="329">
        <f t="shared" ref="P18:Q18" si="10">SUM(P16:P17)</f>
        <v>0</v>
      </c>
      <c r="Q18" s="328">
        <f t="shared" si="10"/>
        <v>0</v>
      </c>
      <c r="R18" s="13"/>
      <c r="S18" s="13"/>
      <c r="T18" s="13"/>
      <c r="U18" s="13"/>
      <c r="V18" s="13"/>
      <c r="W18" s="13"/>
      <c r="X18" s="13"/>
      <c r="Y18" s="13"/>
      <c r="Z18" s="13"/>
      <c r="AA18" s="13"/>
    </row>
    <row r="19">
      <c r="A19" s="13"/>
      <c r="B19" s="168"/>
      <c r="C19" s="230"/>
      <c r="D19" s="13"/>
      <c r="E19" s="322"/>
      <c r="F19" s="322"/>
      <c r="G19" s="322"/>
      <c r="H19" s="322"/>
      <c r="I19" s="322"/>
      <c r="J19" s="322"/>
      <c r="K19" s="322"/>
      <c r="L19" s="322"/>
      <c r="M19" s="322"/>
      <c r="N19" s="325"/>
      <c r="O19" s="322"/>
      <c r="P19" s="324"/>
      <c r="Q19" s="325"/>
      <c r="R19" s="13"/>
      <c r="S19" s="13"/>
      <c r="T19" s="13"/>
      <c r="U19" s="13"/>
      <c r="V19" s="13"/>
      <c r="W19" s="13"/>
      <c r="X19" s="13"/>
      <c r="Y19" s="13"/>
      <c r="Z19" s="13"/>
      <c r="AA19" s="13"/>
    </row>
    <row r="20">
      <c r="A20" s="13"/>
      <c r="B20" s="168"/>
      <c r="C20" s="230" t="s">
        <v>321</v>
      </c>
      <c r="D20" s="13"/>
      <c r="E20" s="322">
        <f>'Income &amp; Expenses (P1B)'!F48</f>
        <v>10140</v>
      </c>
      <c r="F20" s="322">
        <f t="shared" ref="F20:N20" si="11">E20*(1+$E$7)</f>
        <v>10342.8</v>
      </c>
      <c r="G20" s="322">
        <f t="shared" si="11"/>
        <v>10549.656</v>
      </c>
      <c r="H20" s="322">
        <f t="shared" si="11"/>
        <v>10760.64912</v>
      </c>
      <c r="I20" s="322">
        <f t="shared" si="11"/>
        <v>10975.8621</v>
      </c>
      <c r="J20" s="322">
        <f t="shared" si="11"/>
        <v>11195.37934</v>
      </c>
      <c r="K20" s="322">
        <f t="shared" si="11"/>
        <v>11419.28693</v>
      </c>
      <c r="L20" s="322">
        <f t="shared" si="11"/>
        <v>11647.67267</v>
      </c>
      <c r="M20" s="322">
        <f t="shared" si="11"/>
        <v>11880.62612</v>
      </c>
      <c r="N20" s="325">
        <f t="shared" si="11"/>
        <v>12118.23865</v>
      </c>
      <c r="O20" s="322"/>
      <c r="P20" s="324">
        <f>N20*(1+$E$7)^5</f>
        <v>13379.51466</v>
      </c>
      <c r="Q20" s="325">
        <f>N20*(1+$E$7)^10</f>
        <v>14772.06529</v>
      </c>
      <c r="R20" s="13"/>
      <c r="S20" s="13"/>
      <c r="T20" s="13"/>
      <c r="U20" s="13"/>
      <c r="V20" s="13"/>
      <c r="W20" s="13"/>
      <c r="X20" s="13"/>
      <c r="Y20" s="13"/>
      <c r="Z20" s="13"/>
      <c r="AA20" s="13"/>
    </row>
    <row r="21" ht="15.75" customHeight="1">
      <c r="A21" s="13"/>
      <c r="B21" s="168"/>
      <c r="C21" s="285"/>
      <c r="D21" s="333"/>
      <c r="E21" s="334"/>
      <c r="F21" s="334"/>
      <c r="G21" s="334"/>
      <c r="H21" s="334"/>
      <c r="I21" s="334"/>
      <c r="J21" s="334"/>
      <c r="K21" s="334"/>
      <c r="L21" s="334"/>
      <c r="M21" s="334"/>
      <c r="N21" s="335"/>
      <c r="O21" s="322"/>
      <c r="P21" s="336"/>
      <c r="Q21" s="335"/>
      <c r="R21" s="13"/>
      <c r="S21" s="13"/>
      <c r="T21" s="13"/>
      <c r="U21" s="13"/>
      <c r="V21" s="13"/>
      <c r="W21" s="13"/>
      <c r="X21" s="13"/>
      <c r="Y21" s="13"/>
      <c r="Z21" s="13"/>
      <c r="AA21" s="13"/>
    </row>
    <row r="22" ht="15.75" customHeight="1">
      <c r="A22" s="13"/>
      <c r="B22" s="171"/>
      <c r="C22" s="337" t="s">
        <v>322</v>
      </c>
      <c r="D22" s="21"/>
      <c r="E22" s="338">
        <f t="shared" ref="E22:N22" si="12">E14+E18+E20</f>
        <v>2633633.4</v>
      </c>
      <c r="F22" s="338">
        <f t="shared" si="12"/>
        <v>2686306.068</v>
      </c>
      <c r="G22" s="338">
        <f t="shared" si="12"/>
        <v>2740032.189</v>
      </c>
      <c r="H22" s="338">
        <f t="shared" si="12"/>
        <v>2794832.833</v>
      </c>
      <c r="I22" s="338">
        <f t="shared" si="12"/>
        <v>2850729.49</v>
      </c>
      <c r="J22" s="338">
        <f t="shared" si="12"/>
        <v>2907744.08</v>
      </c>
      <c r="K22" s="338">
        <f t="shared" si="12"/>
        <v>2965898.961</v>
      </c>
      <c r="L22" s="338">
        <f t="shared" si="12"/>
        <v>3025216.94</v>
      </c>
      <c r="M22" s="338">
        <f t="shared" si="12"/>
        <v>3085721.279</v>
      </c>
      <c r="N22" s="339">
        <f t="shared" si="12"/>
        <v>3147435.705</v>
      </c>
      <c r="O22" s="340"/>
      <c r="P22" s="341">
        <f t="shared" ref="P22:Q22" si="13">P14+P18+P20</f>
        <v>3475023.341</v>
      </c>
      <c r="Q22" s="339">
        <f t="shared" si="13"/>
        <v>3836706.561</v>
      </c>
      <c r="R22" s="13"/>
      <c r="S22" s="13"/>
      <c r="T22" s="13"/>
      <c r="U22" s="13"/>
      <c r="V22" s="13"/>
      <c r="W22" s="13"/>
      <c r="X22" s="13"/>
      <c r="Y22" s="13"/>
      <c r="Z22" s="13"/>
      <c r="AA22" s="13"/>
    </row>
    <row r="23" ht="15.75" customHeight="1">
      <c r="A23" s="13"/>
      <c r="B23" s="13"/>
      <c r="C23" s="13"/>
      <c r="D23" s="13"/>
      <c r="E23" s="322"/>
      <c r="F23" s="322"/>
      <c r="G23" s="322"/>
      <c r="H23" s="322"/>
      <c r="I23" s="322"/>
      <c r="J23" s="322"/>
      <c r="K23" s="322"/>
      <c r="L23" s="322"/>
      <c r="M23" s="322"/>
      <c r="N23" s="322"/>
      <c r="O23" s="322"/>
      <c r="P23" s="322"/>
      <c r="Q23" s="322"/>
      <c r="R23" s="13"/>
      <c r="S23" s="13"/>
      <c r="T23" s="13"/>
      <c r="U23" s="13"/>
      <c r="V23" s="13"/>
      <c r="W23" s="13"/>
      <c r="X23" s="13"/>
      <c r="Y23" s="13"/>
      <c r="Z23" s="13"/>
      <c r="AA23" s="13"/>
    </row>
    <row r="24" ht="15.75" customHeight="1">
      <c r="A24" s="13"/>
      <c r="B24" s="317" t="s">
        <v>323</v>
      </c>
      <c r="C24" s="318" t="s">
        <v>324</v>
      </c>
      <c r="D24" s="319"/>
      <c r="E24" s="320">
        <f>'Income &amp; Expenses (P1B)'!C88</f>
        <v>252167.9603</v>
      </c>
      <c r="F24" s="320">
        <f t="shared" ref="F24:N24" si="14">E24*(1+$E$9)</f>
        <v>259732.9991</v>
      </c>
      <c r="G24" s="320">
        <f t="shared" si="14"/>
        <v>267524.9891</v>
      </c>
      <c r="H24" s="320">
        <f t="shared" si="14"/>
        <v>275550.7388</v>
      </c>
      <c r="I24" s="320">
        <f t="shared" si="14"/>
        <v>283817.2609</v>
      </c>
      <c r="J24" s="320">
        <f t="shared" si="14"/>
        <v>292331.7788</v>
      </c>
      <c r="K24" s="320">
        <f t="shared" si="14"/>
        <v>301101.7321</v>
      </c>
      <c r="L24" s="320">
        <f t="shared" si="14"/>
        <v>310134.7841</v>
      </c>
      <c r="M24" s="320">
        <f t="shared" si="14"/>
        <v>319438.8276</v>
      </c>
      <c r="N24" s="321">
        <f t="shared" si="14"/>
        <v>329021.9924</v>
      </c>
      <c r="O24" s="322"/>
      <c r="P24" s="323">
        <f t="shared" ref="P24:P30" si="16">N24*(1+$E$9)^5</f>
        <v>381426.6657</v>
      </c>
      <c r="Q24" s="321">
        <f t="shared" ref="Q24:Q30" si="17">N24*(1+$E$9)^10</f>
        <v>442178.0448</v>
      </c>
      <c r="R24" s="13"/>
      <c r="S24" s="13"/>
      <c r="T24" s="13"/>
      <c r="U24" s="13"/>
      <c r="V24" s="13"/>
      <c r="W24" s="13"/>
      <c r="X24" s="13"/>
      <c r="Y24" s="13"/>
      <c r="Z24" s="13"/>
      <c r="AA24" s="13"/>
    </row>
    <row r="25" ht="15.75" customHeight="1">
      <c r="A25" s="13"/>
      <c r="B25" s="168"/>
      <c r="C25" s="230" t="s">
        <v>270</v>
      </c>
      <c r="D25" s="13"/>
      <c r="E25" s="322">
        <f>'Income &amp; Expenses (P1B)'!C94</f>
        <v>37180</v>
      </c>
      <c r="F25" s="322">
        <f t="shared" ref="F25:N25" si="15">E25*(1+$E$9)</f>
        <v>38295.4</v>
      </c>
      <c r="G25" s="322">
        <f t="shared" si="15"/>
        <v>39444.262</v>
      </c>
      <c r="H25" s="322">
        <f t="shared" si="15"/>
        <v>40627.58986</v>
      </c>
      <c r="I25" s="322">
        <f t="shared" si="15"/>
        <v>41846.41756</v>
      </c>
      <c r="J25" s="322">
        <f t="shared" si="15"/>
        <v>43101.81008</v>
      </c>
      <c r="K25" s="322">
        <f t="shared" si="15"/>
        <v>44394.86438</v>
      </c>
      <c r="L25" s="322">
        <f t="shared" si="15"/>
        <v>45726.71032</v>
      </c>
      <c r="M25" s="322">
        <f t="shared" si="15"/>
        <v>47098.51163</v>
      </c>
      <c r="N25" s="325">
        <f t="shared" si="15"/>
        <v>48511.46697</v>
      </c>
      <c r="O25" s="322"/>
      <c r="P25" s="324">
        <f t="shared" si="16"/>
        <v>56238.08597</v>
      </c>
      <c r="Q25" s="325">
        <f t="shared" si="17"/>
        <v>65195.35505</v>
      </c>
      <c r="R25" s="13"/>
      <c r="S25" s="13"/>
      <c r="T25" s="13"/>
      <c r="U25" s="13"/>
      <c r="V25" s="13"/>
      <c r="W25" s="13"/>
      <c r="X25" s="13"/>
      <c r="Y25" s="13"/>
      <c r="Z25" s="13"/>
      <c r="AA25" s="13"/>
    </row>
    <row r="26" ht="15.75" customHeight="1">
      <c r="A26" s="13"/>
      <c r="B26" s="168"/>
      <c r="C26" s="230" t="s">
        <v>275</v>
      </c>
      <c r="D26" s="13"/>
      <c r="E26" s="322">
        <f>'Income &amp; Expenses (P1B)'!C106</f>
        <v>275555</v>
      </c>
      <c r="F26" s="322">
        <f t="shared" ref="F26:N26" si="18">E26*(1+$E$9)</f>
        <v>283821.65</v>
      </c>
      <c r="G26" s="322">
        <f t="shared" si="18"/>
        <v>292336.2995</v>
      </c>
      <c r="H26" s="322">
        <f t="shared" si="18"/>
        <v>301106.3885</v>
      </c>
      <c r="I26" s="322">
        <f t="shared" si="18"/>
        <v>310139.5801</v>
      </c>
      <c r="J26" s="322">
        <f t="shared" si="18"/>
        <v>319443.7675</v>
      </c>
      <c r="K26" s="322">
        <f t="shared" si="18"/>
        <v>329027.0806</v>
      </c>
      <c r="L26" s="322">
        <f t="shared" si="18"/>
        <v>338897.893</v>
      </c>
      <c r="M26" s="322">
        <f t="shared" si="18"/>
        <v>349064.8298</v>
      </c>
      <c r="N26" s="325">
        <f t="shared" si="18"/>
        <v>359536.7747</v>
      </c>
      <c r="O26" s="322"/>
      <c r="P26" s="324">
        <f t="shared" si="16"/>
        <v>416801.6616</v>
      </c>
      <c r="Q26" s="325">
        <f t="shared" si="17"/>
        <v>483187.3605</v>
      </c>
      <c r="R26" s="13"/>
      <c r="S26" s="13"/>
      <c r="T26" s="13"/>
      <c r="U26" s="13"/>
      <c r="V26" s="13"/>
      <c r="W26" s="13"/>
      <c r="X26" s="13"/>
      <c r="Y26" s="13"/>
      <c r="Z26" s="13"/>
      <c r="AA26" s="13"/>
    </row>
    <row r="27" ht="15.75" customHeight="1">
      <c r="A27" s="13"/>
      <c r="B27" s="168"/>
      <c r="C27" s="230" t="s">
        <v>286</v>
      </c>
      <c r="D27" s="13"/>
      <c r="E27" s="322">
        <f>'Income &amp; Expenses (P1B)'!C111</f>
        <v>324343.6943</v>
      </c>
      <c r="F27" s="322">
        <f t="shared" ref="F27:N27" si="19">E27*(1+$E$9)</f>
        <v>334074.0051</v>
      </c>
      <c r="G27" s="322">
        <f t="shared" si="19"/>
        <v>344096.2253</v>
      </c>
      <c r="H27" s="322">
        <f t="shared" si="19"/>
        <v>354419.1121</v>
      </c>
      <c r="I27" s="322">
        <f t="shared" si="19"/>
        <v>365051.6854</v>
      </c>
      <c r="J27" s="322">
        <f t="shared" si="19"/>
        <v>376003.236</v>
      </c>
      <c r="K27" s="322">
        <f t="shared" si="19"/>
        <v>387283.3331</v>
      </c>
      <c r="L27" s="322">
        <f t="shared" si="19"/>
        <v>398901.8331</v>
      </c>
      <c r="M27" s="322">
        <f t="shared" si="19"/>
        <v>410868.888</v>
      </c>
      <c r="N27" s="325">
        <f t="shared" si="19"/>
        <v>423194.9547</v>
      </c>
      <c r="O27" s="322"/>
      <c r="P27" s="324">
        <f t="shared" si="16"/>
        <v>490598.9393</v>
      </c>
      <c r="Q27" s="325">
        <f t="shared" si="17"/>
        <v>568738.6313</v>
      </c>
      <c r="R27" s="13"/>
      <c r="S27" s="13"/>
      <c r="T27" s="13"/>
      <c r="U27" s="13"/>
      <c r="V27" s="13"/>
      <c r="W27" s="13"/>
      <c r="X27" s="13"/>
      <c r="Y27" s="13"/>
      <c r="Z27" s="13"/>
      <c r="AA27" s="13"/>
    </row>
    <row r="28" ht="15.75" customHeight="1">
      <c r="A28" s="13"/>
      <c r="B28" s="168"/>
      <c r="C28" s="230" t="s">
        <v>290</v>
      </c>
      <c r="D28" s="13"/>
      <c r="E28" s="322">
        <f>'Income &amp; Expenses (P1B)'!C116</f>
        <v>38356.29032</v>
      </c>
      <c r="F28" s="322">
        <f t="shared" ref="F28:N28" si="20">E28*(1+$E$9)</f>
        <v>39506.97903</v>
      </c>
      <c r="G28" s="322">
        <f t="shared" si="20"/>
        <v>40692.1884</v>
      </c>
      <c r="H28" s="322">
        <f t="shared" si="20"/>
        <v>41912.95406</v>
      </c>
      <c r="I28" s="322">
        <f t="shared" si="20"/>
        <v>43170.34268</v>
      </c>
      <c r="J28" s="322">
        <f t="shared" si="20"/>
        <v>44465.45296</v>
      </c>
      <c r="K28" s="322">
        <f t="shared" si="20"/>
        <v>45799.41655</v>
      </c>
      <c r="L28" s="322">
        <f t="shared" si="20"/>
        <v>47173.39904</v>
      </c>
      <c r="M28" s="322">
        <f t="shared" si="20"/>
        <v>48588.60101</v>
      </c>
      <c r="N28" s="325">
        <f t="shared" si="20"/>
        <v>50046.25904</v>
      </c>
      <c r="O28" s="322"/>
      <c r="P28" s="324">
        <f t="shared" si="16"/>
        <v>58017.33063</v>
      </c>
      <c r="Q28" s="325">
        <f t="shared" si="17"/>
        <v>67257.98725</v>
      </c>
      <c r="R28" s="13"/>
      <c r="S28" s="13"/>
      <c r="T28" s="13"/>
      <c r="U28" s="13"/>
      <c r="V28" s="13"/>
      <c r="W28" s="13"/>
      <c r="X28" s="13"/>
      <c r="Y28" s="13"/>
      <c r="Z28" s="13"/>
      <c r="AA28" s="13"/>
    </row>
    <row r="29" ht="15.75" customHeight="1">
      <c r="A29" s="13"/>
      <c r="B29" s="168"/>
      <c r="C29" s="230" t="s">
        <v>293</v>
      </c>
      <c r="D29" s="13"/>
      <c r="E29" s="322">
        <f>'Income &amp; Expenses (P1B)'!C122</f>
        <v>132000</v>
      </c>
      <c r="F29" s="322">
        <f t="shared" ref="F29:N29" si="21">E29*(1+$E$9)</f>
        <v>135960</v>
      </c>
      <c r="G29" s="322">
        <f t="shared" si="21"/>
        <v>140038.8</v>
      </c>
      <c r="H29" s="322">
        <f t="shared" si="21"/>
        <v>144239.964</v>
      </c>
      <c r="I29" s="322">
        <f t="shared" si="21"/>
        <v>148567.1629</v>
      </c>
      <c r="J29" s="322">
        <f t="shared" si="21"/>
        <v>153024.1778</v>
      </c>
      <c r="K29" s="322">
        <f t="shared" si="21"/>
        <v>157614.9031</v>
      </c>
      <c r="L29" s="322">
        <f t="shared" si="21"/>
        <v>162343.3502</v>
      </c>
      <c r="M29" s="322">
        <f t="shared" si="21"/>
        <v>167213.6507</v>
      </c>
      <c r="N29" s="325">
        <f t="shared" si="21"/>
        <v>172230.0603</v>
      </c>
      <c r="O29" s="322"/>
      <c r="P29" s="324">
        <f t="shared" si="16"/>
        <v>199661.8437</v>
      </c>
      <c r="Q29" s="325">
        <f t="shared" si="17"/>
        <v>231462.799</v>
      </c>
      <c r="R29" s="13"/>
      <c r="S29" s="13"/>
      <c r="T29" s="13"/>
      <c r="U29" s="13"/>
      <c r="V29" s="13"/>
      <c r="W29" s="13"/>
      <c r="X29" s="13"/>
      <c r="Y29" s="13"/>
      <c r="Z29" s="13"/>
      <c r="AA29" s="13"/>
    </row>
    <row r="30" ht="15.75" customHeight="1">
      <c r="A30" s="13"/>
      <c r="B30" s="168"/>
      <c r="C30" s="285" t="s">
        <v>141</v>
      </c>
      <c r="D30" s="333"/>
      <c r="E30" s="334">
        <f>'Income &amp; Expenses (P1B)'!C126</f>
        <v>42250</v>
      </c>
      <c r="F30" s="334">
        <f t="shared" ref="F30:N30" si="22">E30*(1+$E$9)</f>
        <v>43517.5</v>
      </c>
      <c r="G30" s="334">
        <f t="shared" si="22"/>
        <v>44823.025</v>
      </c>
      <c r="H30" s="334">
        <f t="shared" si="22"/>
        <v>46167.71575</v>
      </c>
      <c r="I30" s="334">
        <f t="shared" si="22"/>
        <v>47552.74722</v>
      </c>
      <c r="J30" s="334">
        <f t="shared" si="22"/>
        <v>48979.32964</v>
      </c>
      <c r="K30" s="334">
        <f t="shared" si="22"/>
        <v>50448.70953</v>
      </c>
      <c r="L30" s="334">
        <f t="shared" si="22"/>
        <v>51962.17081</v>
      </c>
      <c r="M30" s="334">
        <f t="shared" si="22"/>
        <v>53521.03594</v>
      </c>
      <c r="N30" s="335">
        <f t="shared" si="22"/>
        <v>55126.66702</v>
      </c>
      <c r="O30" s="322"/>
      <c r="P30" s="336">
        <f t="shared" si="16"/>
        <v>63906.91588</v>
      </c>
      <c r="Q30" s="335">
        <f t="shared" si="17"/>
        <v>74085.63074</v>
      </c>
      <c r="R30" s="13"/>
      <c r="S30" s="13"/>
      <c r="T30" s="13"/>
      <c r="U30" s="13"/>
      <c r="V30" s="13"/>
      <c r="W30" s="13"/>
      <c r="X30" s="13"/>
      <c r="Y30" s="13"/>
      <c r="Z30" s="13"/>
      <c r="AA30" s="13"/>
    </row>
    <row r="31" ht="15.75" customHeight="1">
      <c r="A31" s="13"/>
      <c r="B31" s="171"/>
      <c r="C31" s="337" t="s">
        <v>325</v>
      </c>
      <c r="D31" s="21"/>
      <c r="E31" s="338">
        <f t="shared" ref="E31:N31" si="23">SUM(E24:E30)</f>
        <v>1101852.945</v>
      </c>
      <c r="F31" s="338">
        <f t="shared" si="23"/>
        <v>1134908.533</v>
      </c>
      <c r="G31" s="338">
        <f t="shared" si="23"/>
        <v>1168955.789</v>
      </c>
      <c r="H31" s="338">
        <f t="shared" si="23"/>
        <v>1204024.463</v>
      </c>
      <c r="I31" s="338">
        <f t="shared" si="23"/>
        <v>1240145.197</v>
      </c>
      <c r="J31" s="338">
        <f t="shared" si="23"/>
        <v>1277349.553</v>
      </c>
      <c r="K31" s="338">
        <f t="shared" si="23"/>
        <v>1315670.039</v>
      </c>
      <c r="L31" s="338">
        <f t="shared" si="23"/>
        <v>1355140.141</v>
      </c>
      <c r="M31" s="338">
        <f t="shared" si="23"/>
        <v>1395794.345</v>
      </c>
      <c r="N31" s="339">
        <f t="shared" si="23"/>
        <v>1437668.175</v>
      </c>
      <c r="O31" s="340"/>
      <c r="P31" s="341">
        <f t="shared" ref="P31:Q31" si="24">SUM(P24:P30)</f>
        <v>1666651.443</v>
      </c>
      <c r="Q31" s="339">
        <f t="shared" si="24"/>
        <v>1932105.809</v>
      </c>
      <c r="R31" s="13"/>
      <c r="S31" s="13"/>
      <c r="T31" s="13"/>
      <c r="U31" s="13"/>
      <c r="V31" s="13"/>
      <c r="W31" s="13"/>
      <c r="X31" s="13"/>
      <c r="Y31" s="13"/>
      <c r="Z31" s="13"/>
      <c r="AA31" s="13"/>
    </row>
    <row r="32" ht="15.75" customHeight="1">
      <c r="A32" s="13"/>
      <c r="B32" s="13"/>
      <c r="C32" s="13"/>
      <c r="D32" s="13"/>
      <c r="E32" s="322"/>
      <c r="F32" s="322"/>
      <c r="G32" s="322"/>
      <c r="H32" s="322"/>
      <c r="I32" s="322"/>
      <c r="J32" s="322"/>
      <c r="K32" s="322"/>
      <c r="L32" s="322"/>
      <c r="M32" s="322"/>
      <c r="N32" s="322"/>
      <c r="O32" s="322"/>
      <c r="P32" s="322"/>
      <c r="Q32" s="322"/>
      <c r="R32" s="13"/>
      <c r="S32" s="13"/>
      <c r="T32" s="13"/>
      <c r="U32" s="13"/>
      <c r="V32" s="13"/>
      <c r="W32" s="13"/>
      <c r="X32" s="13"/>
      <c r="Y32" s="13"/>
      <c r="Z32" s="13"/>
      <c r="AA32" s="13"/>
    </row>
    <row r="33" ht="15.75" customHeight="1">
      <c r="A33" s="13"/>
      <c r="B33" s="342" t="s">
        <v>326</v>
      </c>
      <c r="C33" s="318" t="s">
        <v>327</v>
      </c>
      <c r="D33" s="319"/>
      <c r="E33" s="343">
        <f t="shared" ref="E33:N33" si="25">E22-E31</f>
        <v>1531780.455</v>
      </c>
      <c r="F33" s="343">
        <f t="shared" si="25"/>
        <v>1551397.535</v>
      </c>
      <c r="G33" s="343">
        <f t="shared" si="25"/>
        <v>1571076.4</v>
      </c>
      <c r="H33" s="343">
        <f t="shared" si="25"/>
        <v>1590808.37</v>
      </c>
      <c r="I33" s="343">
        <f t="shared" si="25"/>
        <v>1610584.293</v>
      </c>
      <c r="J33" s="343">
        <f t="shared" si="25"/>
        <v>1630394.527</v>
      </c>
      <c r="K33" s="343">
        <f t="shared" si="25"/>
        <v>1650228.922</v>
      </c>
      <c r="L33" s="343">
        <f t="shared" si="25"/>
        <v>1670076.8</v>
      </c>
      <c r="M33" s="343">
        <f t="shared" si="25"/>
        <v>1689926.934</v>
      </c>
      <c r="N33" s="344">
        <f t="shared" si="25"/>
        <v>1709767.53</v>
      </c>
      <c r="O33" s="340"/>
      <c r="P33" s="345">
        <f t="shared" ref="P33:Q33" si="26">P22-P31</f>
        <v>1808371.898</v>
      </c>
      <c r="Q33" s="344">
        <f t="shared" si="26"/>
        <v>1904600.753</v>
      </c>
      <c r="R33" s="13"/>
      <c r="S33" s="13"/>
      <c r="T33" s="13"/>
      <c r="U33" s="13"/>
      <c r="V33" s="13"/>
      <c r="W33" s="13"/>
      <c r="X33" s="13"/>
      <c r="Y33" s="13"/>
      <c r="Z33" s="13"/>
      <c r="AA33" s="13"/>
    </row>
    <row r="34" ht="15.75" customHeight="1">
      <c r="A34" s="13"/>
      <c r="B34" s="346"/>
      <c r="C34" s="230"/>
      <c r="D34" s="13"/>
      <c r="E34" s="322"/>
      <c r="F34" s="322"/>
      <c r="G34" s="322"/>
      <c r="H34" s="322"/>
      <c r="I34" s="322"/>
      <c r="J34" s="322"/>
      <c r="K34" s="322"/>
      <c r="L34" s="322"/>
      <c r="M34" s="322"/>
      <c r="N34" s="325"/>
      <c r="O34" s="322"/>
      <c r="P34" s="324"/>
      <c r="Q34" s="325"/>
      <c r="R34" s="13"/>
      <c r="S34" s="13"/>
      <c r="T34" s="13"/>
      <c r="U34" s="13"/>
      <c r="V34" s="13"/>
      <c r="W34" s="13"/>
      <c r="X34" s="13"/>
      <c r="Y34" s="13"/>
      <c r="Z34" s="13"/>
      <c r="AA34" s="13"/>
    </row>
    <row r="35" ht="15.75" customHeight="1">
      <c r="A35" s="13"/>
      <c r="B35" s="346"/>
      <c r="C35" s="230" t="s">
        <v>82</v>
      </c>
      <c r="D35" s="13"/>
      <c r="E35" s="322">
        <f>-debtservtotal</f>
        <v>-1408183.342</v>
      </c>
      <c r="F35" s="322">
        <f>-debtservtotal</f>
        <v>-1408183.342</v>
      </c>
      <c r="G35" s="322">
        <f>-debtservtotal</f>
        <v>-1408183.342</v>
      </c>
      <c r="H35" s="322">
        <f>-debtservtotal</f>
        <v>-1408183.342</v>
      </c>
      <c r="I35" s="322">
        <f>-debtservtotal</f>
        <v>-1408183.342</v>
      </c>
      <c r="J35" s="322">
        <f>-debtservtotal</f>
        <v>-1408183.342</v>
      </c>
      <c r="K35" s="322">
        <f>-debtservtotal</f>
        <v>-1408183.342</v>
      </c>
      <c r="L35" s="322">
        <f>-debtservtotal</f>
        <v>-1408183.342</v>
      </c>
      <c r="M35" s="322">
        <f>-debtservtotal</f>
        <v>-1408183.342</v>
      </c>
      <c r="N35" s="325">
        <f>-debtservtotal</f>
        <v>-1408183.342</v>
      </c>
      <c r="O35" s="322"/>
      <c r="P35" s="324">
        <f>-debtservtotal</f>
        <v>-1408183.342</v>
      </c>
      <c r="Q35" s="325">
        <f>-debtservtotal</f>
        <v>-1408183.342</v>
      </c>
      <c r="R35" s="13"/>
      <c r="S35" s="13"/>
      <c r="T35" s="13"/>
      <c r="U35" s="13"/>
      <c r="V35" s="13"/>
      <c r="W35" s="13"/>
      <c r="X35" s="13"/>
      <c r="Y35" s="13"/>
      <c r="Z35" s="13"/>
      <c r="AA35" s="13"/>
    </row>
    <row r="36" ht="15.75" customHeight="1">
      <c r="A36" s="13"/>
      <c r="B36" s="346"/>
      <c r="C36" s="230" t="s">
        <v>328</v>
      </c>
      <c r="D36" s="13"/>
      <c r="E36" s="347">
        <f t="shared" ref="E36:N36" si="27">-E33/E35</f>
        <v>1.087770612</v>
      </c>
      <c r="F36" s="347">
        <f t="shared" si="27"/>
        <v>1.101701383</v>
      </c>
      <c r="G36" s="347">
        <f t="shared" si="27"/>
        <v>1.11567603</v>
      </c>
      <c r="H36" s="347">
        <f t="shared" si="27"/>
        <v>1.129688388</v>
      </c>
      <c r="I36" s="347">
        <f t="shared" si="27"/>
        <v>1.143731959</v>
      </c>
      <c r="J36" s="347">
        <f t="shared" si="27"/>
        <v>1.157799896</v>
      </c>
      <c r="K36" s="347">
        <f t="shared" si="27"/>
        <v>1.17188499</v>
      </c>
      <c r="L36" s="347">
        <f t="shared" si="27"/>
        <v>1.185979659</v>
      </c>
      <c r="M36" s="347">
        <f t="shared" si="27"/>
        <v>1.200075931</v>
      </c>
      <c r="N36" s="348">
        <f t="shared" si="27"/>
        <v>1.214165428</v>
      </c>
      <c r="O36" s="347"/>
      <c r="P36" s="349">
        <f t="shared" ref="P36:Q36" si="28">-P33/P35</f>
        <v>1.284187821</v>
      </c>
      <c r="Q36" s="348">
        <f t="shared" si="28"/>
        <v>1.35252328</v>
      </c>
      <c r="R36" s="13"/>
      <c r="S36" s="13"/>
      <c r="T36" s="13"/>
      <c r="U36" s="13"/>
      <c r="V36" s="13"/>
      <c r="W36" s="13"/>
      <c r="X36" s="13"/>
      <c r="Y36" s="13"/>
      <c r="Z36" s="13"/>
      <c r="AA36" s="13"/>
    </row>
    <row r="37" ht="15.75" customHeight="1">
      <c r="A37" s="13"/>
      <c r="B37" s="346"/>
      <c r="C37" s="285"/>
      <c r="D37" s="333"/>
      <c r="E37" s="334"/>
      <c r="F37" s="334"/>
      <c r="G37" s="334"/>
      <c r="H37" s="334"/>
      <c r="I37" s="334"/>
      <c r="J37" s="334"/>
      <c r="K37" s="334"/>
      <c r="L37" s="334"/>
      <c r="M37" s="334"/>
      <c r="N37" s="335"/>
      <c r="O37" s="322"/>
      <c r="P37" s="336"/>
      <c r="Q37" s="335"/>
      <c r="R37" s="13"/>
      <c r="S37" s="13"/>
      <c r="T37" s="13"/>
      <c r="U37" s="13"/>
      <c r="V37" s="13"/>
      <c r="W37" s="13"/>
      <c r="X37" s="13"/>
      <c r="Y37" s="13"/>
      <c r="Z37" s="13"/>
      <c r="AA37" s="13"/>
    </row>
    <row r="38" ht="15.75" customHeight="1">
      <c r="A38" s="13"/>
      <c r="B38" s="350"/>
      <c r="C38" s="337" t="s">
        <v>329</v>
      </c>
      <c r="D38" s="21"/>
      <c r="E38" s="338">
        <f t="shared" ref="E38:N38" si="29">E33+E35</f>
        <v>123597.113</v>
      </c>
      <c r="F38" s="338">
        <f t="shared" si="29"/>
        <v>143214.1927</v>
      </c>
      <c r="G38" s="338">
        <f t="shared" si="29"/>
        <v>162893.0581</v>
      </c>
      <c r="H38" s="338">
        <f t="shared" si="29"/>
        <v>182625.0282</v>
      </c>
      <c r="I38" s="338">
        <f t="shared" si="29"/>
        <v>202400.9509</v>
      </c>
      <c r="J38" s="338">
        <f t="shared" si="29"/>
        <v>222211.1848</v>
      </c>
      <c r="K38" s="338">
        <f t="shared" si="29"/>
        <v>242045.5798</v>
      </c>
      <c r="L38" s="338">
        <f t="shared" si="29"/>
        <v>261893.4579</v>
      </c>
      <c r="M38" s="338">
        <f t="shared" si="29"/>
        <v>281743.5925</v>
      </c>
      <c r="N38" s="339">
        <f t="shared" si="29"/>
        <v>301584.1877</v>
      </c>
      <c r="O38" s="340"/>
      <c r="P38" s="341">
        <f t="shared" ref="P38:Q38" si="30">P33+P35</f>
        <v>400188.5562</v>
      </c>
      <c r="Q38" s="339">
        <f t="shared" si="30"/>
        <v>496417.4109</v>
      </c>
      <c r="R38" s="13"/>
      <c r="S38" s="58"/>
      <c r="T38" s="13"/>
      <c r="U38" s="13"/>
      <c r="V38" s="13"/>
      <c r="W38" s="13"/>
      <c r="X38" s="13"/>
      <c r="Y38" s="13"/>
      <c r="Z38" s="13"/>
      <c r="AA38" s="13"/>
    </row>
    <row r="39" ht="15.75" customHeight="1">
      <c r="A39" s="13"/>
      <c r="B39" s="13"/>
      <c r="C39" s="13"/>
      <c r="D39" s="13"/>
      <c r="E39" s="13"/>
      <c r="F39" s="13"/>
      <c r="G39" s="13"/>
      <c r="H39" s="13"/>
      <c r="I39" s="13"/>
      <c r="J39" s="13"/>
      <c r="K39" s="13"/>
      <c r="L39" s="13"/>
      <c r="M39" s="13"/>
      <c r="N39" s="13"/>
      <c r="O39" s="13"/>
      <c r="P39" s="13"/>
      <c r="Q39" s="13"/>
      <c r="R39" s="13"/>
      <c r="S39" s="58"/>
      <c r="T39" s="13"/>
      <c r="U39" s="13"/>
      <c r="V39" s="13"/>
      <c r="W39" s="13"/>
      <c r="X39" s="13"/>
      <c r="Y39" s="13"/>
      <c r="Z39" s="13"/>
      <c r="AA39" s="13"/>
    </row>
    <row r="40" ht="15.75" customHeight="1">
      <c r="A40" s="13"/>
      <c r="B40" s="351" t="s">
        <v>330</v>
      </c>
      <c r="C40" s="318" t="s">
        <v>331</v>
      </c>
      <c r="D40" s="319"/>
      <c r="E40" s="320">
        <f>MIN('Sources &amp; Uses (P1B)'!$D$24/13,E38)</f>
        <v>123597.113</v>
      </c>
      <c r="F40" s="320">
        <f>MIN('Sources &amp; Uses (P1B)'!$D$24/13,F38)</f>
        <v>143214.1927</v>
      </c>
      <c r="G40" s="320">
        <f>MIN('Sources &amp; Uses (P1B)'!$D$24/13,G38)</f>
        <v>162893.0581</v>
      </c>
      <c r="H40" s="320">
        <f>MIN('Sources &amp; Uses (P1B)'!$D$24/13,H38)</f>
        <v>182625.0282</v>
      </c>
      <c r="I40" s="320">
        <f>MIN('Sources &amp; Uses (P1B)'!$D$24/13,I38)</f>
        <v>202400.9509</v>
      </c>
      <c r="J40" s="320">
        <f>MIN('Sources &amp; Uses (P1B)'!$D$24/13,J38)</f>
        <v>222211.1848</v>
      </c>
      <c r="K40" s="320">
        <f>MIN('Sources &amp; Uses (P1B)'!$D$24/13,K38)</f>
        <v>242045.5798</v>
      </c>
      <c r="L40" s="320">
        <f>MIN('Sources &amp; Uses (P1B)'!$D$24/13,L38)</f>
        <v>260000</v>
      </c>
      <c r="M40" s="320">
        <f>MIN('Sources &amp; Uses (P1B)'!$D$24/13,M38)</f>
        <v>260000</v>
      </c>
      <c r="N40" s="320">
        <f>MIN('Sources &amp; Uses (P1B)'!$D$24/13,N38)</f>
        <v>260000</v>
      </c>
      <c r="O40" s="319"/>
      <c r="P40" s="320">
        <f>MIN(N41-4*N40,P38)</f>
        <v>281012.8924</v>
      </c>
      <c r="Q40" s="321">
        <v>0.0</v>
      </c>
      <c r="R40" s="13"/>
      <c r="S40" s="58"/>
      <c r="T40" s="13"/>
      <c r="U40" s="13"/>
      <c r="V40" s="13"/>
      <c r="W40" s="13"/>
      <c r="X40" s="13"/>
      <c r="Y40" s="13"/>
      <c r="Z40" s="13"/>
      <c r="AA40" s="13"/>
    </row>
    <row r="41" ht="15.75" customHeight="1">
      <c r="A41" s="13"/>
      <c r="B41" s="346"/>
      <c r="C41" s="352" t="s">
        <v>332</v>
      </c>
      <c r="D41" s="353"/>
      <c r="E41" s="354">
        <f>'Sources &amp; Uses (P1B)'!C9-'Cash Flow (P1B)'!E40</f>
        <v>3256402.887</v>
      </c>
      <c r="F41" s="354">
        <f t="shared" ref="F41:N41" si="31">E41-F40</f>
        <v>3113188.694</v>
      </c>
      <c r="G41" s="354">
        <f t="shared" si="31"/>
        <v>2950295.636</v>
      </c>
      <c r="H41" s="354">
        <f t="shared" si="31"/>
        <v>2767670.608</v>
      </c>
      <c r="I41" s="354">
        <f t="shared" si="31"/>
        <v>2565269.657</v>
      </c>
      <c r="J41" s="354">
        <f t="shared" si="31"/>
        <v>2343058.472</v>
      </c>
      <c r="K41" s="354">
        <f t="shared" si="31"/>
        <v>2101012.892</v>
      </c>
      <c r="L41" s="354">
        <f t="shared" si="31"/>
        <v>1841012.892</v>
      </c>
      <c r="M41" s="354">
        <f t="shared" si="31"/>
        <v>1581012.892</v>
      </c>
      <c r="N41" s="354">
        <f t="shared" si="31"/>
        <v>1321012.892</v>
      </c>
      <c r="O41" s="353"/>
      <c r="P41" s="354">
        <f>(N41-4*N40)-P40</f>
        <v>0</v>
      </c>
      <c r="Q41" s="355">
        <f>P41</f>
        <v>0</v>
      </c>
      <c r="R41" s="13"/>
      <c r="S41" s="58"/>
      <c r="T41" s="13"/>
      <c r="U41" s="13"/>
      <c r="V41" s="13"/>
      <c r="W41" s="13"/>
      <c r="X41" s="13"/>
      <c r="Y41" s="13"/>
      <c r="Z41" s="13"/>
      <c r="AA41" s="13"/>
    </row>
    <row r="42" ht="15.75" customHeight="1">
      <c r="A42" s="13"/>
      <c r="B42" s="346"/>
      <c r="C42" s="278" t="s">
        <v>330</v>
      </c>
      <c r="D42" s="15"/>
      <c r="E42" s="340">
        <f t="shared" ref="E42:N42" si="32">E38-E40</f>
        <v>0</v>
      </c>
      <c r="F42" s="340">
        <f t="shared" si="32"/>
        <v>0</v>
      </c>
      <c r="G42" s="340">
        <f t="shared" si="32"/>
        <v>0</v>
      </c>
      <c r="H42" s="340">
        <f t="shared" si="32"/>
        <v>0</v>
      </c>
      <c r="I42" s="340">
        <f t="shared" si="32"/>
        <v>0</v>
      </c>
      <c r="J42" s="340">
        <f t="shared" si="32"/>
        <v>0</v>
      </c>
      <c r="K42" s="340">
        <f t="shared" si="32"/>
        <v>0</v>
      </c>
      <c r="L42" s="340">
        <f t="shared" si="32"/>
        <v>1893.457882</v>
      </c>
      <c r="M42" s="340">
        <f t="shared" si="32"/>
        <v>21743.59247</v>
      </c>
      <c r="N42" s="340">
        <f t="shared" si="32"/>
        <v>41584.18772</v>
      </c>
      <c r="O42" s="15"/>
      <c r="P42" s="340">
        <f t="shared" ref="P42:Q42" si="33">P38-P40</f>
        <v>119175.6637</v>
      </c>
      <c r="Q42" s="356">
        <f t="shared" si="33"/>
        <v>496417.4109</v>
      </c>
      <c r="R42" s="13"/>
      <c r="S42" s="58"/>
      <c r="T42" s="13"/>
      <c r="U42" s="13"/>
      <c r="V42" s="13"/>
      <c r="W42" s="13"/>
      <c r="X42" s="13"/>
      <c r="Y42" s="13"/>
      <c r="Z42" s="13"/>
      <c r="AA42" s="13"/>
    </row>
    <row r="43" ht="15.75" customHeight="1">
      <c r="A43" s="13"/>
      <c r="B43" s="346"/>
      <c r="C43" s="357" t="s">
        <v>333</v>
      </c>
      <c r="D43" s="358">
        <v>0.7</v>
      </c>
      <c r="E43" s="359">
        <f t="shared" ref="E43:N43" si="34">E$42*$D43</f>
        <v>0</v>
      </c>
      <c r="F43" s="359">
        <f t="shared" si="34"/>
        <v>0</v>
      </c>
      <c r="G43" s="359">
        <f t="shared" si="34"/>
        <v>0</v>
      </c>
      <c r="H43" s="359">
        <f t="shared" si="34"/>
        <v>0</v>
      </c>
      <c r="I43" s="359">
        <f t="shared" si="34"/>
        <v>0</v>
      </c>
      <c r="J43" s="359">
        <f t="shared" si="34"/>
        <v>0</v>
      </c>
      <c r="K43" s="359">
        <f t="shared" si="34"/>
        <v>0</v>
      </c>
      <c r="L43" s="359">
        <f t="shared" si="34"/>
        <v>1325.420518</v>
      </c>
      <c r="M43" s="359">
        <f t="shared" si="34"/>
        <v>15220.51473</v>
      </c>
      <c r="N43" s="359">
        <f t="shared" si="34"/>
        <v>29108.9314</v>
      </c>
      <c r="O43" s="95"/>
      <c r="P43" s="359">
        <f t="shared" ref="P43:Q43" si="35">P$42*$D43</f>
        <v>83422.96462</v>
      </c>
      <c r="Q43" s="360">
        <f t="shared" si="35"/>
        <v>347492.1876</v>
      </c>
      <c r="R43" s="13"/>
      <c r="S43" s="13"/>
      <c r="T43" s="13"/>
      <c r="U43" s="13"/>
      <c r="V43" s="13"/>
      <c r="W43" s="13"/>
      <c r="X43" s="13"/>
      <c r="Y43" s="13"/>
      <c r="Z43" s="13"/>
      <c r="AA43" s="13"/>
    </row>
    <row r="44" ht="15.75" customHeight="1">
      <c r="A44" s="13"/>
      <c r="B44" s="346"/>
      <c r="C44" s="357" t="s">
        <v>334</v>
      </c>
      <c r="D44" s="358">
        <v>0.25</v>
      </c>
      <c r="E44" s="359">
        <f t="shared" ref="E44:N44" si="36">E$42*$D44</f>
        <v>0</v>
      </c>
      <c r="F44" s="359">
        <f t="shared" si="36"/>
        <v>0</v>
      </c>
      <c r="G44" s="359">
        <f t="shared" si="36"/>
        <v>0</v>
      </c>
      <c r="H44" s="359">
        <f t="shared" si="36"/>
        <v>0</v>
      </c>
      <c r="I44" s="359">
        <f t="shared" si="36"/>
        <v>0</v>
      </c>
      <c r="J44" s="359">
        <f t="shared" si="36"/>
        <v>0</v>
      </c>
      <c r="K44" s="359">
        <f t="shared" si="36"/>
        <v>0</v>
      </c>
      <c r="L44" s="359">
        <f t="shared" si="36"/>
        <v>473.3644706</v>
      </c>
      <c r="M44" s="359">
        <f t="shared" si="36"/>
        <v>5435.898119</v>
      </c>
      <c r="N44" s="359">
        <f t="shared" si="36"/>
        <v>10396.04693</v>
      </c>
      <c r="O44" s="95"/>
      <c r="P44" s="359">
        <f t="shared" ref="P44:Q44" si="37">P$42*$D44</f>
        <v>29793.91594</v>
      </c>
      <c r="Q44" s="360">
        <f t="shared" si="37"/>
        <v>124104.3527</v>
      </c>
      <c r="R44" s="13"/>
      <c r="S44" s="13"/>
      <c r="T44" s="13"/>
      <c r="U44" s="13"/>
      <c r="V44" s="13"/>
      <c r="W44" s="13"/>
      <c r="X44" s="13"/>
      <c r="Y44" s="13"/>
      <c r="Z44" s="13"/>
      <c r="AA44" s="13"/>
    </row>
    <row r="45" ht="15.75" customHeight="1">
      <c r="A45" s="13"/>
      <c r="B45" s="350"/>
      <c r="C45" s="361" t="s">
        <v>335</v>
      </c>
      <c r="D45" s="362">
        <v>0.05</v>
      </c>
      <c r="E45" s="363">
        <f t="shared" ref="E45:N45" si="38">E$42*$D45</f>
        <v>0</v>
      </c>
      <c r="F45" s="363">
        <f t="shared" si="38"/>
        <v>0</v>
      </c>
      <c r="G45" s="363">
        <f t="shared" si="38"/>
        <v>0</v>
      </c>
      <c r="H45" s="363">
        <f t="shared" si="38"/>
        <v>0</v>
      </c>
      <c r="I45" s="363">
        <f t="shared" si="38"/>
        <v>0</v>
      </c>
      <c r="J45" s="363">
        <f t="shared" si="38"/>
        <v>0</v>
      </c>
      <c r="K45" s="363">
        <f t="shared" si="38"/>
        <v>0</v>
      </c>
      <c r="L45" s="363">
        <f t="shared" si="38"/>
        <v>94.67289412</v>
      </c>
      <c r="M45" s="363">
        <f t="shared" si="38"/>
        <v>1087.179624</v>
      </c>
      <c r="N45" s="363">
        <f t="shared" si="38"/>
        <v>2079.209386</v>
      </c>
      <c r="O45" s="364"/>
      <c r="P45" s="363">
        <f t="shared" ref="P45:Q45" si="39">P$42*$D45</f>
        <v>5958.783187</v>
      </c>
      <c r="Q45" s="365">
        <f t="shared" si="39"/>
        <v>24820.87054</v>
      </c>
      <c r="R45" s="13"/>
      <c r="S45" s="13"/>
      <c r="T45" s="13"/>
      <c r="U45" s="13"/>
      <c r="V45" s="13"/>
      <c r="W45" s="13"/>
      <c r="X45" s="13"/>
      <c r="Y45" s="13"/>
      <c r="Z45" s="13"/>
      <c r="AA45" s="13"/>
    </row>
    <row r="46" ht="15.75" customHeight="1">
      <c r="A46" s="13"/>
      <c r="B46" s="366"/>
      <c r="C46" s="13"/>
      <c r="D46" s="13"/>
      <c r="E46" s="13"/>
      <c r="F46" s="13"/>
      <c r="G46" s="13"/>
      <c r="H46" s="13"/>
      <c r="I46" s="13"/>
      <c r="J46" s="13"/>
      <c r="K46" s="13"/>
      <c r="L46" s="13"/>
      <c r="M46" s="13"/>
      <c r="N46" s="13"/>
      <c r="O46" s="13"/>
      <c r="P46" s="13"/>
      <c r="Q46" s="13"/>
      <c r="R46" s="13"/>
      <c r="S46" s="13"/>
      <c r="T46" s="13"/>
      <c r="U46" s="13"/>
      <c r="V46" s="13"/>
      <c r="W46" s="13"/>
      <c r="X46" s="13"/>
      <c r="Y46" s="13"/>
      <c r="Z46" s="13"/>
      <c r="AA46" s="13"/>
    </row>
    <row r="47" ht="15.75"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row>
    <row r="48" ht="15.75"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row>
    <row r="49" ht="15.7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row>
    <row r="50" ht="15.7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row>
    <row r="51" ht="15.7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row>
    <row r="52" ht="15.7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row>
    <row r="53" ht="15.7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row>
    <row r="54" ht="15.7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row>
    <row r="55" ht="15.7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5.7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5.7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5.7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5.75"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5.75"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5.7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5.7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5.75"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5.7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5.7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5.7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5.75"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5.75"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5.75"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5.75"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5.75"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5.7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5.7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5.7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5.7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5.7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5.75" customHeight="1">
      <c r="A79" s="13"/>
      <c r="B79" s="13"/>
      <c r="C79" s="57"/>
      <c r="D79" s="57"/>
      <c r="E79" s="13"/>
      <c r="F79" s="13"/>
      <c r="G79" s="13"/>
      <c r="H79" s="13"/>
      <c r="I79" s="13"/>
      <c r="J79" s="13"/>
      <c r="K79" s="13"/>
      <c r="L79" s="13"/>
      <c r="M79" s="13"/>
      <c r="N79" s="13"/>
      <c r="O79" s="13"/>
      <c r="P79" s="13"/>
      <c r="Q79" s="13"/>
      <c r="R79" s="13"/>
      <c r="S79" s="13"/>
      <c r="T79" s="13"/>
      <c r="U79" s="13"/>
      <c r="V79" s="13"/>
      <c r="W79" s="13"/>
      <c r="X79" s="13"/>
      <c r="Y79" s="13"/>
      <c r="Z79" s="13"/>
      <c r="AA79" s="13"/>
    </row>
    <row r="80" ht="15.7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5.7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5.7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5.7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5.7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5.7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5.7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5.7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5.7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5.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5.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5.7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5.7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5.7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5.7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5.7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5.7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5.7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5.7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5.7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5.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5.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5.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5.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5.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5.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5.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5.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5.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5.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5.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5.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5.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5.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5.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5.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5.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5.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5.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5.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5.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5.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5.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5.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5.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5.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5.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5.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row>
    <row r="223"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row>
    <row r="224"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row>
    <row r="225"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row>
    <row r="2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row>
    <row r="227"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row>
    <row r="228"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row>
    <row r="229"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row>
    <row r="230"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row>
    <row r="231"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row>
    <row r="232"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row>
    <row r="233"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row>
    <row r="234"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row>
    <row r="235"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row>
    <row r="23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row>
    <row r="237"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row>
    <row r="238"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row>
    <row r="239"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row>
    <row r="240" ht="15.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row>
    <row r="241" ht="15.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row>
    <row r="242" ht="15.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row>
    <row r="243" ht="15.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row>
    <row r="244" ht="15.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row>
    <row r="245" ht="15.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B2:I2"/>
    <mergeCell ref="C4:E4"/>
    <mergeCell ref="B12:B22"/>
    <mergeCell ref="B24:B31"/>
    <mergeCell ref="B33:B38"/>
    <mergeCell ref="B40:B45"/>
  </mergeCells>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4C6E7"/>
    <pageSetUpPr/>
  </sheetPr>
  <sheetViews>
    <sheetView showGridLines="0" workbookViewId="0"/>
  </sheetViews>
  <sheetFormatPr customHeight="1" defaultColWidth="12.63" defaultRowHeight="15.0"/>
  <cols>
    <col customWidth="1" min="1" max="1" width="2.88"/>
    <col customWidth="1" min="2" max="2" width="10.63"/>
    <col customWidth="1" min="3" max="3" width="48.63"/>
    <col customWidth="1" min="4" max="4" width="19.13"/>
    <col customWidth="1" min="5" max="5" width="53.88"/>
    <col customWidth="1" min="6" max="6" width="10.63"/>
    <col customWidth="1" min="7" max="7" width="15.63"/>
  </cols>
  <sheetData>
    <row r="1" ht="13.5" customHeight="1"/>
    <row r="2" ht="13.5" customHeight="1"/>
    <row r="3" ht="13.5" customHeight="1">
      <c r="C3" s="367" t="s">
        <v>336</v>
      </c>
      <c r="D3" s="368"/>
      <c r="E3" s="368"/>
    </row>
    <row r="4" ht="13.5" customHeight="1"/>
    <row r="5" ht="13.5" customHeight="1">
      <c r="C5" s="369" t="s">
        <v>337</v>
      </c>
      <c r="D5" s="370"/>
      <c r="E5" s="370"/>
    </row>
    <row r="6" ht="13.5" customHeight="1">
      <c r="C6" s="371"/>
      <c r="D6" s="371"/>
      <c r="E6" s="371" t="s">
        <v>338</v>
      </c>
    </row>
    <row r="7" ht="13.5" customHeight="1">
      <c r="C7" s="35" t="s">
        <v>339</v>
      </c>
      <c r="D7" s="372">
        <v>4.4E7</v>
      </c>
      <c r="E7" s="35" t="s">
        <v>340</v>
      </c>
      <c r="G7" s="373">
        <f>'Sources &amp; Uses (P1B)'!C126</f>
        <v>45007766.68</v>
      </c>
    </row>
    <row r="8" ht="13.5" customHeight="1">
      <c r="C8" s="371" t="s">
        <v>341</v>
      </c>
      <c r="D8" s="374">
        <v>0.5</v>
      </c>
      <c r="E8" s="371" t="s">
        <v>342</v>
      </c>
    </row>
    <row r="9" ht="13.5" customHeight="1">
      <c r="C9" s="375" t="s">
        <v>343</v>
      </c>
      <c r="D9" s="376">
        <f>D8*D7</f>
        <v>22000000</v>
      </c>
    </row>
    <row r="10" ht="13.5" customHeight="1"/>
    <row r="11" ht="13.5" customHeight="1">
      <c r="C11" s="35" t="s">
        <v>344</v>
      </c>
      <c r="D11" s="377">
        <f>AVERAGE('Development Comps'!C8:F8)</f>
        <v>14.5</v>
      </c>
      <c r="E11" s="35" t="s">
        <v>345</v>
      </c>
    </row>
    <row r="12" ht="13.5" customHeight="1">
      <c r="C12" s="35" t="s">
        <v>346</v>
      </c>
      <c r="D12" s="378">
        <v>0.3</v>
      </c>
      <c r="E12" s="35" t="s">
        <v>347</v>
      </c>
    </row>
    <row r="13" ht="13.5" customHeight="1">
      <c r="C13" s="35" t="s">
        <v>348</v>
      </c>
      <c r="D13" s="377">
        <v>1.0</v>
      </c>
      <c r="E13" s="35" t="s">
        <v>349</v>
      </c>
    </row>
    <row r="14" ht="13.5" customHeight="1">
      <c r="C14" s="35" t="s">
        <v>350</v>
      </c>
      <c r="D14" s="35">
        <f>ROUND(D11*(1-D12)+D13,0)</f>
        <v>11</v>
      </c>
    </row>
    <row r="15" ht="13.5" customHeight="1">
      <c r="C15" s="35" t="s">
        <v>351</v>
      </c>
      <c r="D15" s="378">
        <v>0.45</v>
      </c>
    </row>
    <row r="16" ht="13.5" customHeight="1">
      <c r="C16" s="35" t="s">
        <v>352</v>
      </c>
      <c r="D16" s="379">
        <v>0.0595</v>
      </c>
      <c r="E16" s="35" t="s">
        <v>353</v>
      </c>
    </row>
    <row r="17" ht="13.5" customHeight="1">
      <c r="C17" s="35" t="s">
        <v>354</v>
      </c>
      <c r="D17" s="380">
        <f>D9*D15*(D16/12)*D11</f>
        <v>711768.75</v>
      </c>
    </row>
    <row r="18" ht="13.5" customHeight="1">
      <c r="C18" s="371" t="s">
        <v>355</v>
      </c>
      <c r="D18" s="381">
        <f>D9*(D16/12)*D13</f>
        <v>109083.3333</v>
      </c>
      <c r="E18" s="371"/>
    </row>
    <row r="19" ht="13.5" customHeight="1">
      <c r="C19" s="375" t="s">
        <v>356</v>
      </c>
      <c r="D19" s="376">
        <f>SUM(D17:D18)</f>
        <v>820852.0833</v>
      </c>
    </row>
    <row r="20" ht="13.5" customHeight="1">
      <c r="C20" s="35"/>
      <c r="D20" s="380"/>
    </row>
    <row r="21" ht="13.5" customHeight="1">
      <c r="C21" s="35"/>
      <c r="D21" s="380"/>
      <c r="G21" s="380"/>
    </row>
    <row r="22" ht="13.5" customHeight="1"/>
    <row r="23" ht="13.5" customHeight="1">
      <c r="C23" s="369" t="s">
        <v>357</v>
      </c>
      <c r="D23" s="370"/>
      <c r="E23" s="370"/>
    </row>
    <row r="24" ht="13.5" customHeight="1">
      <c r="C24" s="371"/>
      <c r="D24" s="371"/>
      <c r="E24" s="371" t="s">
        <v>338</v>
      </c>
    </row>
    <row r="25" ht="13.5" customHeight="1">
      <c r="C25" s="35" t="s">
        <v>358</v>
      </c>
      <c r="D25" s="380">
        <f>'Sources &amp; Uses (P1B)'!C54+'Sources &amp; Uses (P1B)'!C64+'Sources &amp; Uses (P1B)'!E54+'Sources &amp; Uses (P1B)'!E64</f>
        <v>33358613.72</v>
      </c>
      <c r="E25" s="35" t="s">
        <v>359</v>
      </c>
    </row>
    <row r="26" ht="13.5" customHeight="1">
      <c r="C26" s="35" t="s">
        <v>360</v>
      </c>
      <c r="D26" s="378">
        <v>0.9</v>
      </c>
      <c r="E26" s="35" t="s">
        <v>361</v>
      </c>
    </row>
    <row r="27" ht="13.5" customHeight="1">
      <c r="C27" s="35" t="s">
        <v>362</v>
      </c>
      <c r="D27" s="380">
        <f>D26*D25</f>
        <v>30022752.35</v>
      </c>
    </row>
    <row r="28" ht="13.5" customHeight="1">
      <c r="C28" s="35" t="s">
        <v>363</v>
      </c>
      <c r="D28" s="382">
        <f>D9</f>
        <v>22000000</v>
      </c>
      <c r="E28" s="35"/>
    </row>
    <row r="29" ht="13.5" customHeight="1">
      <c r="C29" s="35" t="s">
        <v>364</v>
      </c>
      <c r="D29" s="382">
        <f>D53</f>
        <v>613449.5614</v>
      </c>
      <c r="E29" s="35" t="s">
        <v>365</v>
      </c>
    </row>
    <row r="30" ht="13.5" customHeight="1">
      <c r="C30" s="371" t="s">
        <v>366</v>
      </c>
      <c r="D30" s="381">
        <f>D25-D28-D29</f>
        <v>10745164.16</v>
      </c>
      <c r="E30" s="371"/>
    </row>
    <row r="31" ht="13.5" customHeight="1">
      <c r="C31" s="375" t="s">
        <v>367</v>
      </c>
      <c r="D31" s="376">
        <f>MIN(D30,D27)</f>
        <v>10745164.16</v>
      </c>
    </row>
    <row r="32" ht="13.5" customHeight="1"/>
    <row r="33" ht="13.5" customHeight="1">
      <c r="C33" s="35" t="s">
        <v>344</v>
      </c>
      <c r="D33" s="377">
        <f>AVERAGE('Development Comps'!C8:F8)</f>
        <v>14.5</v>
      </c>
      <c r="E33" s="35" t="s">
        <v>345</v>
      </c>
    </row>
    <row r="34" ht="13.5" customHeight="1">
      <c r="C34" s="35" t="s">
        <v>346</v>
      </c>
      <c r="D34" s="378">
        <v>0.3</v>
      </c>
      <c r="E34" s="35" t="s">
        <v>347</v>
      </c>
    </row>
    <row r="35" ht="13.5" customHeight="1">
      <c r="C35" s="35" t="s">
        <v>348</v>
      </c>
      <c r="D35" s="377">
        <v>1.0</v>
      </c>
      <c r="E35" s="35" t="s">
        <v>349</v>
      </c>
    </row>
    <row r="36" ht="13.5" customHeight="1">
      <c r="C36" s="35" t="s">
        <v>350</v>
      </c>
      <c r="D36" s="35">
        <f>ROUND(D33*(1-D34)+D35,0)</f>
        <v>11</v>
      </c>
    </row>
    <row r="37" ht="13.5" customHeight="1">
      <c r="C37" s="35" t="s">
        <v>351</v>
      </c>
      <c r="D37" s="378">
        <v>0.45</v>
      </c>
    </row>
    <row r="38" ht="13.5" customHeight="1">
      <c r="C38" s="35" t="s">
        <v>352</v>
      </c>
      <c r="D38" s="379">
        <v>0.0843</v>
      </c>
      <c r="E38" s="35" t="s">
        <v>353</v>
      </c>
    </row>
    <row r="39" ht="13.5" customHeight="1">
      <c r="C39" s="35" t="s">
        <v>354</v>
      </c>
      <c r="D39" s="380">
        <f>D31*D37*(D38/12)*D33</f>
        <v>492538.1778</v>
      </c>
    </row>
    <row r="40" ht="13.5" customHeight="1">
      <c r="C40" s="371" t="s">
        <v>355</v>
      </c>
      <c r="D40" s="381">
        <f>D31*(D38/12)*D35</f>
        <v>75484.7782</v>
      </c>
      <c r="E40" s="371"/>
    </row>
    <row r="41" ht="13.5" customHeight="1">
      <c r="C41" s="375" t="s">
        <v>368</v>
      </c>
      <c r="D41" s="376">
        <f>SUM(D39:D40)</f>
        <v>568022.956</v>
      </c>
    </row>
    <row r="42" ht="13.5" customHeight="1"/>
    <row r="43" ht="13.5" customHeight="1"/>
    <row r="44" ht="13.5" customHeight="1"/>
    <row r="45" ht="13.5" customHeight="1">
      <c r="C45" s="369" t="s">
        <v>369</v>
      </c>
      <c r="D45" s="370"/>
      <c r="E45" s="370"/>
    </row>
    <row r="46" ht="13.5" customHeight="1">
      <c r="C46" s="35"/>
    </row>
    <row r="47" ht="13.5" customHeight="1">
      <c r="C47" s="371"/>
      <c r="D47" s="371"/>
      <c r="E47" s="371" t="s">
        <v>338</v>
      </c>
    </row>
    <row r="48" ht="13.5" customHeight="1">
      <c r="C48" s="35" t="s">
        <v>106</v>
      </c>
      <c r="D48" s="380">
        <f>'Sources &amp; Uses (P1B)'!C58</f>
        <v>499249.5614</v>
      </c>
    </row>
    <row r="49" ht="13.5" customHeight="1">
      <c r="C49" s="35" t="s">
        <v>117</v>
      </c>
      <c r="D49" s="380">
        <f>'Sources &amp; Uses (P1B)'!C73</f>
        <v>75000</v>
      </c>
    </row>
    <row r="50" ht="13.5" customHeight="1">
      <c r="C50" s="371" t="s">
        <v>370</v>
      </c>
      <c r="D50" s="381">
        <f>SUM('Sources &amp; Uses (P1B)'!C95:C98)</f>
        <v>39200</v>
      </c>
      <c r="E50" s="371"/>
    </row>
    <row r="51" ht="13.5" customHeight="1">
      <c r="C51" s="375" t="s">
        <v>371</v>
      </c>
      <c r="D51" s="376">
        <f>SUM(D48:D50)</f>
        <v>613449.5614</v>
      </c>
    </row>
    <row r="52" ht="13.5" customHeight="1"/>
    <row r="53" ht="13.5" customHeight="1">
      <c r="C53" s="375" t="s">
        <v>372</v>
      </c>
      <c r="D53" s="376">
        <f>D51</f>
        <v>613449.5614</v>
      </c>
    </row>
    <row r="54" ht="13.5" customHeight="1">
      <c r="C54" s="35" t="s">
        <v>373</v>
      </c>
      <c r="D54" s="377">
        <v>12.0</v>
      </c>
      <c r="E54" s="35" t="s">
        <v>374</v>
      </c>
    </row>
    <row r="55" ht="13.5" customHeight="1">
      <c r="C55" s="35" t="s">
        <v>375</v>
      </c>
      <c r="D55" s="378">
        <v>0.05</v>
      </c>
      <c r="E55" s="35" t="s">
        <v>374</v>
      </c>
    </row>
    <row r="56" ht="13.5" customHeight="1">
      <c r="C56" s="375" t="s">
        <v>376</v>
      </c>
      <c r="D56" s="376">
        <f>D53*D55/12*D54</f>
        <v>30672.47807</v>
      </c>
    </row>
    <row r="57" ht="13.5" customHeight="1"/>
    <row r="58" ht="13.5" customHeight="1">
      <c r="C58" s="35" t="s">
        <v>377</v>
      </c>
      <c r="D58" s="378">
        <v>0.01</v>
      </c>
      <c r="E58" s="35" t="s">
        <v>374</v>
      </c>
    </row>
    <row r="59" ht="13.5" customHeight="1">
      <c r="C59" s="375" t="s">
        <v>378</v>
      </c>
      <c r="D59" s="376">
        <f>D58*D53</f>
        <v>6134.495614</v>
      </c>
    </row>
    <row r="60" ht="13.5" customHeight="1"/>
    <row r="61" ht="13.5" customHeight="1"/>
    <row r="62" ht="13.5" customHeight="1"/>
    <row r="63" ht="13.5" customHeight="1"/>
    <row r="64" ht="13.5" customHeight="1">
      <c r="C64" s="367" t="s">
        <v>379</v>
      </c>
      <c r="D64" s="368"/>
      <c r="E64" s="368"/>
    </row>
    <row r="65" ht="13.5" customHeight="1"/>
    <row r="66" ht="13.5" customHeight="1">
      <c r="C66" s="369" t="s">
        <v>380</v>
      </c>
      <c r="D66" s="370"/>
      <c r="E66" s="370"/>
    </row>
    <row r="67" ht="13.5" customHeight="1">
      <c r="C67" s="371"/>
      <c r="D67" s="371"/>
      <c r="E67" s="371" t="s">
        <v>338</v>
      </c>
    </row>
    <row r="68" ht="13.5" customHeight="1">
      <c r="C68" s="35" t="s">
        <v>381</v>
      </c>
      <c r="D68" s="380">
        <f>noi</f>
        <v>1531780.455</v>
      </c>
    </row>
    <row r="69" ht="13.5" customHeight="1">
      <c r="C69" s="35" t="s">
        <v>382</v>
      </c>
      <c r="D69" s="383">
        <v>1.15</v>
      </c>
      <c r="E69" s="35" t="s">
        <v>383</v>
      </c>
    </row>
    <row r="70" ht="13.5" customHeight="1">
      <c r="C70" s="35" t="s">
        <v>384</v>
      </c>
      <c r="D70" s="380">
        <f>D68/D69</f>
        <v>1331983.004</v>
      </c>
    </row>
    <row r="71" ht="13.5" customHeight="1"/>
    <row r="72" ht="13.5" customHeight="1">
      <c r="C72" s="35" t="s">
        <v>385</v>
      </c>
      <c r="D72" s="377">
        <v>35.0</v>
      </c>
      <c r="E72" s="35" t="s">
        <v>386</v>
      </c>
    </row>
    <row r="73" ht="13.5" customHeight="1">
      <c r="C73" s="35" t="s">
        <v>387</v>
      </c>
      <c r="D73" s="379">
        <v>0.0625</v>
      </c>
      <c r="E73" s="35" t="s">
        <v>353</v>
      </c>
    </row>
    <row r="74" ht="13.5" customHeight="1">
      <c r="C74" s="371" t="s">
        <v>362</v>
      </c>
      <c r="D74" s="381">
        <f>PV(D73/12,D72*12,-D70/12)</f>
        <v>18907005.73</v>
      </c>
      <c r="E74" s="371"/>
    </row>
    <row r="75" ht="13.5" customHeight="1">
      <c r="C75" s="375" t="s">
        <v>388</v>
      </c>
      <c r="D75" s="376">
        <f>D74</f>
        <v>18907005.73</v>
      </c>
    </row>
    <row r="76" ht="13.5" customHeight="1"/>
    <row r="77" ht="13.5" customHeight="1">
      <c r="C77" s="35" t="s">
        <v>351</v>
      </c>
      <c r="D77" s="384">
        <f>D37</f>
        <v>0.45</v>
      </c>
    </row>
    <row r="78" ht="13.5" customHeight="1">
      <c r="C78" s="35" t="s">
        <v>354</v>
      </c>
      <c r="D78" s="380">
        <f>D75*D77*(D73/12)*D33</f>
        <v>642542.7728</v>
      </c>
    </row>
    <row r="79" ht="13.5" customHeight="1">
      <c r="C79" s="371" t="s">
        <v>355</v>
      </c>
      <c r="D79" s="381">
        <f>D75*(D73/12)*D35</f>
        <v>98473.98817</v>
      </c>
      <c r="E79" s="371"/>
    </row>
    <row r="80" ht="13.5" customHeight="1">
      <c r="C80" s="375" t="s">
        <v>389</v>
      </c>
      <c r="D80" s="376">
        <f>SUM(D78:D79)</f>
        <v>741016.761</v>
      </c>
    </row>
    <row r="81" ht="13.5" customHeight="1"/>
    <row r="82" ht="13.5" customHeight="1"/>
    <row r="83" ht="13.5" customHeight="1"/>
    <row r="84" ht="13.5" customHeight="1">
      <c r="C84" s="369" t="s">
        <v>390</v>
      </c>
      <c r="D84" s="370"/>
      <c r="E84" s="370"/>
    </row>
    <row r="85" ht="13.5" customHeight="1">
      <c r="C85" s="371"/>
      <c r="D85" s="371"/>
      <c r="E85" s="371" t="s">
        <v>338</v>
      </c>
    </row>
    <row r="86" ht="13.5" customHeight="1">
      <c r="C86" s="186" t="s">
        <v>391</v>
      </c>
      <c r="D86" s="385">
        <f>'Sources &amp; Uses (P1B)'!G15</f>
        <v>0</v>
      </c>
    </row>
    <row r="87" ht="13.5" customHeight="1">
      <c r="C87" s="375" t="s">
        <v>392</v>
      </c>
      <c r="D87" s="386">
        <v>1650000.0</v>
      </c>
      <c r="E87" s="35" t="s">
        <v>340</v>
      </c>
    </row>
    <row r="88" ht="13.5" customHeight="1">
      <c r="C88" s="186" t="s">
        <v>393</v>
      </c>
      <c r="D88" s="387">
        <f>'Sources &amp; Uses (P1B)'!D20/8</f>
        <v>2363375.716</v>
      </c>
      <c r="E88" s="35"/>
    </row>
    <row r="89" ht="13.5" customHeight="1"/>
    <row r="90" ht="13.5" customHeight="1">
      <c r="C90" s="35" t="s">
        <v>382</v>
      </c>
      <c r="D90" s="383">
        <v>1.05</v>
      </c>
      <c r="E90" s="35" t="s">
        <v>394</v>
      </c>
    </row>
    <row r="91" ht="13.5" customHeight="1">
      <c r="C91" s="186" t="s">
        <v>395</v>
      </c>
      <c r="D91" s="388" t="b">
        <f>'Sources &amp; Uses (P1B)'!C34&gt;='Loan Sizing (P1B)'!D90</f>
        <v>1</v>
      </c>
      <c r="E91" s="186"/>
    </row>
    <row r="92" ht="13.5" customHeight="1">
      <c r="C92" s="35" t="s">
        <v>385</v>
      </c>
      <c r="D92" s="377">
        <v>35.0</v>
      </c>
      <c r="E92" s="35" t="s">
        <v>394</v>
      </c>
    </row>
    <row r="93" ht="13.5" customHeight="1">
      <c r="C93" s="35" t="s">
        <v>375</v>
      </c>
      <c r="D93" s="378">
        <v>0.03</v>
      </c>
      <c r="E93" s="35" t="s">
        <v>394</v>
      </c>
    </row>
    <row r="94" ht="13.5" customHeight="1">
      <c r="C94" s="35" t="s">
        <v>396</v>
      </c>
      <c r="D94" s="377">
        <v>19.0</v>
      </c>
      <c r="E94" s="35" t="s">
        <v>394</v>
      </c>
    </row>
    <row r="95" ht="13.5" customHeight="1"/>
    <row r="96" ht="13.5" customHeight="1">
      <c r="C96" s="35" t="s">
        <v>377</v>
      </c>
      <c r="D96" s="389">
        <v>0.015</v>
      </c>
      <c r="E96" s="35" t="s">
        <v>394</v>
      </c>
    </row>
    <row r="97" ht="13.5" customHeight="1">
      <c r="C97" s="35" t="s">
        <v>397</v>
      </c>
      <c r="D97" s="390">
        <f>D96*D87</f>
        <v>24750</v>
      </c>
    </row>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D91">
    <cfRule type="containsText" dxfId="1" priority="1" operator="containsText" text="TRUE">
      <formula>NOT(ISERROR(SEARCH(("TRUE"),(D91))))</formula>
    </cfRule>
  </conditionalFormatting>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4C6E7"/>
    <pageSetUpPr/>
  </sheetPr>
  <sheetViews>
    <sheetView showGridLines="0" workbookViewId="0">
      <pane ySplit="3.0" topLeftCell="A4" activePane="bottomLeft" state="frozen"/>
      <selection activeCell="B5" sqref="B5" pane="bottomLeft"/>
    </sheetView>
  </sheetViews>
  <sheetFormatPr customHeight="1" defaultColWidth="12.63" defaultRowHeight="15.0"/>
  <cols>
    <col customWidth="1" min="1" max="2" width="2.63"/>
    <col customWidth="1" min="3" max="3" width="65.63"/>
    <col customWidth="1" min="4" max="4" width="14.38"/>
    <col customWidth="1" min="5" max="5" width="77.88"/>
    <col customWidth="1" min="6" max="7" width="7.63"/>
    <col customWidth="1" min="8" max="8" width="12.13"/>
    <col customWidth="1" min="9" max="10" width="7.63"/>
    <col customWidth="1" min="11" max="11" width="30.5"/>
  </cols>
  <sheetData>
    <row r="1">
      <c r="C1" s="36" t="s">
        <v>301</v>
      </c>
      <c r="D1" s="37"/>
      <c r="E1" s="37"/>
    </row>
    <row r="2" ht="15.0" customHeight="1">
      <c r="C2" s="35"/>
      <c r="G2" s="39" t="s">
        <v>44</v>
      </c>
      <c r="H2" s="39"/>
    </row>
    <row r="3" ht="15.0" customHeight="1">
      <c r="B3" s="375" t="s">
        <v>398</v>
      </c>
      <c r="C3" s="375"/>
      <c r="D3" s="391" t="s">
        <v>399</v>
      </c>
      <c r="E3" s="375" t="s">
        <v>400</v>
      </c>
    </row>
    <row r="4" ht="15.0" customHeight="1">
      <c r="B4" s="369" t="s">
        <v>401</v>
      </c>
      <c r="C4" s="369"/>
      <c r="D4" s="370"/>
      <c r="E4" s="370"/>
    </row>
    <row r="5" ht="15.0" customHeight="1">
      <c r="B5" s="392"/>
      <c r="C5" s="393" t="s">
        <v>402</v>
      </c>
      <c r="D5" s="392"/>
      <c r="E5" s="392"/>
    </row>
    <row r="6" ht="15.0" customHeight="1">
      <c r="B6" s="371"/>
      <c r="C6" s="371" t="s">
        <v>403</v>
      </c>
      <c r="D6" s="371"/>
      <c r="E6" s="371"/>
    </row>
    <row r="7" ht="15.0" customHeight="1">
      <c r="C7" s="394" t="s">
        <v>404</v>
      </c>
      <c r="D7" s="377">
        <v>168.0</v>
      </c>
      <c r="E7" s="35" t="s">
        <v>405</v>
      </c>
    </row>
    <row r="8" ht="15.0" customHeight="1">
      <c r="C8" s="394" t="s">
        <v>406</v>
      </c>
      <c r="D8" s="377">
        <v>1.0</v>
      </c>
      <c r="E8" s="35" t="s">
        <v>405</v>
      </c>
    </row>
    <row r="9" ht="15.0" customHeight="1">
      <c r="C9" s="394" t="s">
        <v>407</v>
      </c>
      <c r="D9" s="377">
        <f>SUM(D7:D8)</f>
        <v>169</v>
      </c>
      <c r="E9" s="35" t="s">
        <v>405</v>
      </c>
    </row>
    <row r="10" ht="15.0" customHeight="1">
      <c r="C10" s="394"/>
      <c r="D10" s="35"/>
      <c r="E10" s="35"/>
    </row>
    <row r="11" ht="15.0" customHeight="1">
      <c r="B11" s="371"/>
      <c r="C11" s="395" t="s">
        <v>408</v>
      </c>
      <c r="D11" s="371"/>
      <c r="E11" s="371"/>
    </row>
    <row r="12" ht="15.0" customHeight="1">
      <c r="C12" s="394" t="s">
        <v>409</v>
      </c>
      <c r="D12" s="377">
        <v>650.0</v>
      </c>
      <c r="E12" s="35"/>
    </row>
    <row r="13" ht="15.0" customHeight="1">
      <c r="C13" s="394" t="s">
        <v>410</v>
      </c>
      <c r="D13" s="377">
        <v>960.0</v>
      </c>
      <c r="E13" s="35"/>
    </row>
    <row r="15" ht="15.0" customHeight="1">
      <c r="B15" s="371"/>
      <c r="C15" s="371" t="s">
        <v>411</v>
      </c>
      <c r="D15" s="371"/>
      <c r="E15" s="371"/>
    </row>
    <row r="16" ht="15.0" customHeight="1">
      <c r="C16" s="35" t="s">
        <v>412</v>
      </c>
      <c r="D16" s="378">
        <v>0.4</v>
      </c>
      <c r="E16" s="35" t="s">
        <v>413</v>
      </c>
    </row>
    <row r="17" ht="15.0" customHeight="1">
      <c r="C17" s="35" t="s">
        <v>414</v>
      </c>
      <c r="D17" s="378">
        <f>1-D16</f>
        <v>0.6</v>
      </c>
      <c r="E17" s="35" t="s">
        <v>413</v>
      </c>
    </row>
    <row r="19" ht="15.0" customHeight="1">
      <c r="B19" s="371"/>
      <c r="C19" s="371" t="s">
        <v>415</v>
      </c>
      <c r="D19" s="371"/>
      <c r="E19" s="396"/>
    </row>
    <row r="20" ht="15.0" customHeight="1">
      <c r="C20" s="394" t="s">
        <v>416</v>
      </c>
      <c r="D20" s="397">
        <v>946.0</v>
      </c>
      <c r="E20" s="35" t="s">
        <v>405</v>
      </c>
    </row>
    <row r="21" ht="15.0" customHeight="1">
      <c r="C21" s="394" t="s">
        <v>417</v>
      </c>
      <c r="D21" s="397">
        <v>1102.0</v>
      </c>
      <c r="E21" s="35" t="s">
        <v>405</v>
      </c>
    </row>
    <row r="22" ht="15.0" customHeight="1">
      <c r="C22" s="394" t="s">
        <v>418</v>
      </c>
      <c r="D22" s="397">
        <v>1639.0</v>
      </c>
      <c r="E22" s="35" t="s">
        <v>405</v>
      </c>
    </row>
    <row r="23" ht="15.0" customHeight="1">
      <c r="C23" s="394" t="s">
        <v>195</v>
      </c>
      <c r="D23" s="397">
        <v>1903.0</v>
      </c>
      <c r="E23" s="35" t="s">
        <v>405</v>
      </c>
    </row>
    <row r="24" ht="15.75" customHeight="1"/>
    <row r="25" ht="15.0" customHeight="1">
      <c r="B25" s="371"/>
      <c r="C25" s="371" t="s">
        <v>419</v>
      </c>
      <c r="D25" s="371"/>
      <c r="E25" s="371"/>
    </row>
    <row r="26" ht="15.0" customHeight="1">
      <c r="C26" s="394" t="s">
        <v>420</v>
      </c>
      <c r="D26" s="397">
        <f t="array" ref="D26:D27">TRANSPOSE('DCHA Utility Allowances'!D19:E19)</f>
        <v>59</v>
      </c>
      <c r="E26" s="35" t="s">
        <v>421</v>
      </c>
    </row>
    <row r="27" ht="15.0" customHeight="1">
      <c r="C27" s="394" t="s">
        <v>422</v>
      </c>
      <c r="D27" s="397">
        <v>75.0</v>
      </c>
      <c r="E27" s="35" t="s">
        <v>421</v>
      </c>
    </row>
    <row r="28" ht="15.0" customHeight="1">
      <c r="C28" s="394"/>
      <c r="D28" s="380"/>
      <c r="E28" s="35"/>
    </row>
    <row r="29" ht="15.0" customHeight="1">
      <c r="B29" s="371"/>
      <c r="C29" s="395" t="s">
        <v>423</v>
      </c>
      <c r="D29" s="381"/>
      <c r="E29" s="371"/>
    </row>
    <row r="30" ht="15.0" customHeight="1">
      <c r="C30" s="394" t="s">
        <v>424</v>
      </c>
      <c r="D30" s="378">
        <v>0.05</v>
      </c>
      <c r="E30" s="35" t="s">
        <v>425</v>
      </c>
    </row>
    <row r="31" ht="15.0" customHeight="1">
      <c r="C31" s="394"/>
      <c r="D31" s="380"/>
    </row>
    <row r="32" ht="15.0" customHeight="1">
      <c r="B32" s="392"/>
      <c r="C32" s="398" t="s">
        <v>321</v>
      </c>
      <c r="D32" s="399"/>
      <c r="E32" s="392"/>
    </row>
    <row r="33" ht="15.0" customHeight="1">
      <c r="C33" s="394" t="s">
        <v>426</v>
      </c>
      <c r="D33" s="397">
        <v>5.0</v>
      </c>
    </row>
    <row r="34" ht="15.0" customHeight="1">
      <c r="C34" s="394" t="s">
        <v>427</v>
      </c>
      <c r="D34" s="397">
        <v>0.0</v>
      </c>
      <c r="E34" s="35" t="s">
        <v>428</v>
      </c>
    </row>
    <row r="35" ht="15.75" customHeight="1"/>
    <row r="36" ht="15.0" customHeight="1">
      <c r="B36" s="392"/>
      <c r="C36" s="393" t="s">
        <v>182</v>
      </c>
      <c r="D36" s="392"/>
      <c r="E36" s="392"/>
    </row>
    <row r="37" ht="15.75" customHeight="1">
      <c r="B37" s="371"/>
      <c r="C37" s="371" t="s">
        <v>259</v>
      </c>
      <c r="D37" s="371"/>
      <c r="E37" s="371"/>
    </row>
    <row r="38" ht="15.75" customHeight="1">
      <c r="C38" s="394" t="s">
        <v>429</v>
      </c>
      <c r="D38" s="378">
        <v>0.05</v>
      </c>
      <c r="E38" s="35" t="s">
        <v>430</v>
      </c>
    </row>
    <row r="39" ht="15.75" customHeight="1">
      <c r="C39" s="35" t="s">
        <v>264</v>
      </c>
      <c r="D39" s="397">
        <v>70000.0</v>
      </c>
      <c r="E39" s="35" t="s">
        <v>431</v>
      </c>
    </row>
    <row r="40" ht="15.75" customHeight="1">
      <c r="C40" s="35" t="s">
        <v>265</v>
      </c>
      <c r="D40" s="397">
        <v>10000.0</v>
      </c>
      <c r="E40" s="35" t="s">
        <v>430</v>
      </c>
    </row>
    <row r="41" ht="15.75" customHeight="1">
      <c r="C41" s="35" t="s">
        <v>266</v>
      </c>
      <c r="D41" s="397">
        <v>10000.0</v>
      </c>
      <c r="E41" s="35" t="s">
        <v>430</v>
      </c>
    </row>
    <row r="42" ht="15.75" customHeight="1">
      <c r="C42" s="35" t="s">
        <v>267</v>
      </c>
      <c r="D42" s="397">
        <v>5000.0</v>
      </c>
      <c r="E42" s="35" t="s">
        <v>430</v>
      </c>
    </row>
    <row r="43" ht="15.75" customHeight="1">
      <c r="C43" s="35" t="s">
        <v>432</v>
      </c>
      <c r="D43" s="397">
        <f>'OpEx Comps'!N12</f>
        <v>150.8064516</v>
      </c>
      <c r="E43" s="35" t="s">
        <v>430</v>
      </c>
    </row>
    <row r="44" ht="15.75" customHeight="1"/>
    <row r="45" ht="15.75" customHeight="1">
      <c r="B45" s="371"/>
      <c r="C45" s="371" t="s">
        <v>270</v>
      </c>
      <c r="D45" s="371"/>
      <c r="E45" s="371"/>
    </row>
    <row r="46" ht="15.75" customHeight="1">
      <c r="C46" s="394" t="s">
        <v>433</v>
      </c>
      <c r="D46" s="397">
        <v>300.0</v>
      </c>
      <c r="E46" s="35" t="s">
        <v>430</v>
      </c>
    </row>
    <row r="47" ht="15.75" customHeight="1">
      <c r="C47" s="394" t="s">
        <v>434</v>
      </c>
      <c r="D47" s="378">
        <v>0.4</v>
      </c>
      <c r="E47" s="35" t="s">
        <v>347</v>
      </c>
    </row>
    <row r="48" ht="15.75" customHeight="1">
      <c r="C48" s="394" t="s">
        <v>435</v>
      </c>
      <c r="D48" s="397">
        <v>400.0</v>
      </c>
      <c r="E48" s="35" t="s">
        <v>430</v>
      </c>
    </row>
    <row r="49" ht="15.75" customHeight="1">
      <c r="C49" s="394" t="s">
        <v>436</v>
      </c>
      <c r="D49" s="378">
        <v>0.9</v>
      </c>
      <c r="E49" s="35" t="s">
        <v>347</v>
      </c>
    </row>
    <row r="50" ht="15.75" customHeight="1">
      <c r="C50" s="35" t="s">
        <v>437</v>
      </c>
      <c r="D50" s="397">
        <v>0.0</v>
      </c>
      <c r="E50" s="35" t="s">
        <v>438</v>
      </c>
    </row>
    <row r="51" ht="15.75" customHeight="1"/>
    <row r="52" ht="15.75" customHeight="1">
      <c r="B52" s="371"/>
      <c r="C52" s="371" t="s">
        <v>275</v>
      </c>
      <c r="D52" s="371"/>
      <c r="E52" s="371"/>
    </row>
    <row r="53" ht="15.75" customHeight="1">
      <c r="C53" s="35" t="s">
        <v>439</v>
      </c>
      <c r="D53" s="397">
        <v>100000.0</v>
      </c>
      <c r="E53" s="35" t="s">
        <v>440</v>
      </c>
    </row>
    <row r="54" ht="15.75" customHeight="1">
      <c r="C54" s="35" t="s">
        <v>441</v>
      </c>
      <c r="D54" s="397">
        <v>60.0</v>
      </c>
      <c r="E54" s="35" t="s">
        <v>430</v>
      </c>
    </row>
    <row r="55" ht="15.75" customHeight="1">
      <c r="C55" s="35" t="s">
        <v>442</v>
      </c>
      <c r="D55" s="397">
        <v>30.0</v>
      </c>
      <c r="E55" s="35" t="s">
        <v>430</v>
      </c>
    </row>
    <row r="56" ht="15.75" customHeight="1">
      <c r="C56" s="35" t="s">
        <v>443</v>
      </c>
      <c r="D56" s="397">
        <v>300.0</v>
      </c>
      <c r="E56" s="35" t="s">
        <v>430</v>
      </c>
    </row>
    <row r="57" ht="15.75" customHeight="1">
      <c r="C57" s="35" t="s">
        <v>444</v>
      </c>
      <c r="D57" s="397">
        <v>30.0</v>
      </c>
      <c r="E57" s="35" t="s">
        <v>430</v>
      </c>
    </row>
    <row r="58" ht="15.75" customHeight="1">
      <c r="C58" s="35" t="s">
        <v>445</v>
      </c>
      <c r="D58" s="397">
        <v>60.0</v>
      </c>
      <c r="E58" s="35" t="s">
        <v>430</v>
      </c>
    </row>
    <row r="59" ht="15.75" customHeight="1">
      <c r="C59" s="35" t="s">
        <v>446</v>
      </c>
      <c r="D59" s="397">
        <v>60.0</v>
      </c>
      <c r="E59" s="35" t="s">
        <v>430</v>
      </c>
    </row>
    <row r="60" ht="15.75" customHeight="1">
      <c r="C60" s="35" t="s">
        <v>447</v>
      </c>
      <c r="D60" s="397">
        <v>30.0</v>
      </c>
      <c r="E60" s="35" t="s">
        <v>430</v>
      </c>
    </row>
    <row r="61" ht="15.75" customHeight="1">
      <c r="C61" s="35" t="s">
        <v>448</v>
      </c>
      <c r="D61" s="397">
        <v>25.0</v>
      </c>
      <c r="E61" s="35" t="s">
        <v>449</v>
      </c>
    </row>
    <row r="62" ht="15.75" customHeight="1"/>
    <row r="63" ht="15.75" customHeight="1">
      <c r="B63" s="371"/>
      <c r="C63" s="371" t="s">
        <v>286</v>
      </c>
      <c r="D63" s="371"/>
      <c r="E63" s="371"/>
    </row>
    <row r="64" ht="15.75" customHeight="1">
      <c r="B64" s="35"/>
      <c r="C64" s="35" t="s">
        <v>450</v>
      </c>
      <c r="D64" s="389">
        <f>'OpEx Comps'!M30</f>
        <v>0.07151929581</v>
      </c>
      <c r="E64" s="35" t="s">
        <v>430</v>
      </c>
    </row>
    <row r="65" ht="15.75" customHeight="1">
      <c r="B65" s="35"/>
      <c r="C65" s="35" t="s">
        <v>381</v>
      </c>
      <c r="D65" s="397">
        <f>noi</f>
        <v>1531780.455</v>
      </c>
      <c r="E65" s="35"/>
      <c r="K65" s="372"/>
    </row>
    <row r="66" ht="15.75" customHeight="1">
      <c r="B66" s="35"/>
      <c r="C66" s="35" t="s">
        <v>451</v>
      </c>
      <c r="D66" s="397">
        <f>'OpEx Comps'!M29</f>
        <v>104997.5295</v>
      </c>
      <c r="E66" s="372"/>
    </row>
    <row r="67" ht="15.75" customHeight="1">
      <c r="B67" s="35"/>
      <c r="C67" s="35" t="s">
        <v>452</v>
      </c>
      <c r="D67" s="380">
        <f>D66*unit</f>
        <v>17744582.48</v>
      </c>
      <c r="E67" s="35"/>
    </row>
    <row r="68" ht="15.75" customHeight="1">
      <c r="B68" s="35"/>
      <c r="C68" s="35" t="s">
        <v>453</v>
      </c>
      <c r="D68" s="400">
        <v>0.018278463</v>
      </c>
      <c r="E68" s="35" t="s">
        <v>454</v>
      </c>
      <c r="K68" s="372"/>
    </row>
    <row r="69" ht="15.75" customHeight="1">
      <c r="B69" s="35"/>
      <c r="C69" s="35" t="s">
        <v>455</v>
      </c>
      <c r="D69" s="397">
        <f>D68*D67</f>
        <v>324343.6943</v>
      </c>
      <c r="E69" s="35"/>
      <c r="K69" s="372"/>
    </row>
    <row r="70" ht="15.75" customHeight="1">
      <c r="C70" s="35" t="s">
        <v>287</v>
      </c>
      <c r="D70" s="397">
        <f>D69</f>
        <v>324343.6943</v>
      </c>
      <c r="E70" s="35" t="s">
        <v>456</v>
      </c>
    </row>
    <row r="71" ht="15.75" customHeight="1">
      <c r="C71" s="35" t="s">
        <v>56</v>
      </c>
      <c r="D71" s="397">
        <v>0.0</v>
      </c>
    </row>
    <row r="72" ht="15.75" customHeight="1"/>
    <row r="73" ht="15.75" customHeight="1">
      <c r="B73" s="371"/>
      <c r="C73" s="371" t="s">
        <v>290</v>
      </c>
      <c r="D73" s="371"/>
      <c r="E73" s="371"/>
    </row>
    <row r="74" ht="15.75" customHeight="1">
      <c r="C74" s="394" t="s">
        <v>457</v>
      </c>
      <c r="D74" s="397">
        <f>'OpEx Comps'!N16</f>
        <v>196.9602978</v>
      </c>
      <c r="E74" s="35" t="s">
        <v>430</v>
      </c>
    </row>
    <row r="75" ht="15.75" customHeight="1">
      <c r="C75" s="35" t="s">
        <v>458</v>
      </c>
      <c r="D75" s="397">
        <v>30.0</v>
      </c>
      <c r="E75" s="35" t="s">
        <v>459</v>
      </c>
    </row>
    <row r="76" ht="15.75" customHeight="1"/>
    <row r="77" ht="15.75" customHeight="1">
      <c r="B77" s="371"/>
      <c r="C77" s="371" t="s">
        <v>293</v>
      </c>
      <c r="D77" s="371"/>
      <c r="E77" s="371"/>
    </row>
    <row r="78" ht="15.75" customHeight="1">
      <c r="C78" s="35" t="s">
        <v>293</v>
      </c>
      <c r="D78" s="397">
        <v>65000.0</v>
      </c>
      <c r="E78" s="35" t="s">
        <v>460</v>
      </c>
    </row>
    <row r="79" ht="15.75" customHeight="1">
      <c r="C79" s="35" t="s">
        <v>461</v>
      </c>
      <c r="D79" s="397">
        <f>1500+(4*40*25)</f>
        <v>5500</v>
      </c>
      <c r="E79" s="35" t="s">
        <v>462</v>
      </c>
    </row>
    <row r="80" ht="15.75" customHeight="1">
      <c r="C80" s="35" t="s">
        <v>463</v>
      </c>
      <c r="D80" s="397">
        <v>1000.0</v>
      </c>
      <c r="E80" s="35" t="s">
        <v>464</v>
      </c>
    </row>
    <row r="81" ht="15.75" customHeight="1"/>
    <row r="82" ht="15.75" customHeight="1">
      <c r="B82" s="371"/>
      <c r="C82" s="371" t="s">
        <v>141</v>
      </c>
      <c r="D82" s="371"/>
      <c r="E82" s="371"/>
    </row>
    <row r="83" ht="15.75" customHeight="1">
      <c r="C83" s="394" t="s">
        <v>465</v>
      </c>
      <c r="D83" s="397">
        <v>250.0</v>
      </c>
      <c r="E83" s="35" t="s">
        <v>466</v>
      </c>
    </row>
    <row r="84" ht="15.75" customHeight="1"/>
    <row r="85" ht="15.75" customHeight="1"/>
    <row r="86" ht="15.75" customHeight="1">
      <c r="B86" s="369" t="s">
        <v>467</v>
      </c>
      <c r="C86" s="370"/>
      <c r="D86" s="370"/>
      <c r="E86" s="370"/>
    </row>
    <row r="87" ht="15.75" customHeight="1">
      <c r="B87" s="392"/>
      <c r="C87" s="393" t="s">
        <v>468</v>
      </c>
      <c r="D87" s="392"/>
      <c r="E87" s="392"/>
    </row>
    <row r="88" ht="15.75" customHeight="1">
      <c r="B88" s="371"/>
      <c r="C88" s="371" t="s">
        <v>47</v>
      </c>
      <c r="D88" s="371"/>
      <c r="E88" s="371"/>
    </row>
    <row r="89" ht="15.75" customHeight="1">
      <c r="C89" s="35" t="s">
        <v>469</v>
      </c>
      <c r="D89" s="397">
        <v>0.0</v>
      </c>
      <c r="E89" s="35" t="s">
        <v>470</v>
      </c>
    </row>
    <row r="90" ht="15.75" customHeight="1">
      <c r="C90" s="35" t="s">
        <v>471</v>
      </c>
      <c r="D90" s="397">
        <v>0.0</v>
      </c>
      <c r="E90" s="35" t="s">
        <v>470</v>
      </c>
    </row>
    <row r="91" ht="15.75" customHeight="1">
      <c r="C91" s="35"/>
      <c r="D91" s="380"/>
      <c r="E91" s="35"/>
    </row>
    <row r="92" ht="15.75" customHeight="1">
      <c r="B92" s="371"/>
      <c r="C92" s="371" t="s">
        <v>49</v>
      </c>
      <c r="D92" s="381"/>
      <c r="E92" s="371"/>
    </row>
    <row r="93" ht="15.75" customHeight="1">
      <c r="C93" s="394" t="s">
        <v>472</v>
      </c>
      <c r="D93" s="397">
        <f>MEDIAN('Development Comps'!C25:F25)</f>
        <v>175000</v>
      </c>
      <c r="E93" s="401" t="s">
        <v>473</v>
      </c>
    </row>
    <row r="94" ht="15.75" customHeight="1">
      <c r="C94" s="394" t="s">
        <v>474</v>
      </c>
      <c r="D94" s="402">
        <f>(301.21/291.13)-1</f>
        <v>0.03462370762</v>
      </c>
      <c r="E94" s="401" t="s">
        <v>475</v>
      </c>
    </row>
    <row r="95" ht="15.75" customHeight="1">
      <c r="C95" s="394" t="s">
        <v>476</v>
      </c>
      <c r="D95" s="378">
        <v>0.1</v>
      </c>
      <c r="E95" s="401" t="s">
        <v>477</v>
      </c>
    </row>
    <row r="96" ht="15.75" customHeight="1">
      <c r="C96" s="394" t="s">
        <v>478</v>
      </c>
      <c r="D96" s="378">
        <v>0.05</v>
      </c>
      <c r="E96" s="35" t="s">
        <v>479</v>
      </c>
    </row>
    <row r="97" ht="15.75" customHeight="1">
      <c r="C97" s="394" t="s">
        <v>480</v>
      </c>
      <c r="D97" s="378">
        <v>0.05</v>
      </c>
      <c r="E97" s="35" t="s">
        <v>479</v>
      </c>
    </row>
    <row r="98" ht="15.75" customHeight="1">
      <c r="C98" s="394" t="s">
        <v>481</v>
      </c>
      <c r="D98" s="378">
        <v>0.02</v>
      </c>
      <c r="E98" s="35" t="s">
        <v>479</v>
      </c>
    </row>
    <row r="99" ht="15.75" customHeight="1">
      <c r="C99" s="394" t="s">
        <v>482</v>
      </c>
      <c r="D99" s="378">
        <v>0.03</v>
      </c>
      <c r="E99" s="35" t="s">
        <v>483</v>
      </c>
    </row>
    <row r="100" ht="15.75" customHeight="1">
      <c r="C100" s="394"/>
      <c r="D100" s="380"/>
      <c r="E100" s="35"/>
    </row>
    <row r="101" ht="15.75" customHeight="1">
      <c r="B101" s="371"/>
      <c r="C101" s="395" t="s">
        <v>101</v>
      </c>
      <c r="D101" s="381"/>
      <c r="E101" s="371"/>
    </row>
    <row r="102" ht="15.75" customHeight="1">
      <c r="B102" s="35"/>
      <c r="C102" s="394" t="s">
        <v>484</v>
      </c>
      <c r="D102" s="403">
        <v>67145.0</v>
      </c>
      <c r="E102" s="35" t="s">
        <v>485</v>
      </c>
    </row>
    <row r="103" ht="15.75" customHeight="1">
      <c r="B103" s="35"/>
      <c r="C103" s="394" t="s">
        <v>486</v>
      </c>
      <c r="D103" s="404">
        <v>0.6</v>
      </c>
      <c r="E103" s="35" t="s">
        <v>487</v>
      </c>
    </row>
    <row r="104" ht="15.75" customHeight="1">
      <c r="B104" s="35"/>
      <c r="C104" s="394" t="s">
        <v>488</v>
      </c>
      <c r="D104" s="405">
        <v>15.0</v>
      </c>
      <c r="E104" s="35" t="s">
        <v>489</v>
      </c>
    </row>
    <row r="105" ht="15.75" customHeight="1">
      <c r="B105" s="35"/>
      <c r="C105" s="394" t="s">
        <v>490</v>
      </c>
      <c r="D105" s="35">
        <f>D102*D103*D104/1000</f>
        <v>604.305</v>
      </c>
      <c r="E105" s="35"/>
    </row>
    <row r="106" ht="15.75" customHeight="1">
      <c r="C106" s="394" t="s">
        <v>491</v>
      </c>
      <c r="D106" s="397">
        <f>230000/135</f>
        <v>1703.703704</v>
      </c>
      <c r="E106" s="35" t="s">
        <v>492</v>
      </c>
    </row>
    <row r="107" ht="15.75" customHeight="1">
      <c r="C107" s="394" t="s">
        <v>493</v>
      </c>
      <c r="D107" s="380">
        <f>D105*D106</f>
        <v>1029556.667</v>
      </c>
      <c r="E107" s="35"/>
    </row>
    <row r="108" ht="15.75" customHeight="1"/>
    <row r="109" ht="15.75" customHeight="1">
      <c r="B109" s="371"/>
      <c r="C109" s="395" t="s">
        <v>494</v>
      </c>
      <c r="D109" s="406"/>
      <c r="E109" s="371"/>
    </row>
    <row r="110" ht="15.75" customHeight="1">
      <c r="C110" s="394" t="s">
        <v>495</v>
      </c>
      <c r="D110" s="402">
        <f>'Development Comps'!M56</f>
        <v>0.01526779588</v>
      </c>
      <c r="E110" s="35" t="s">
        <v>496</v>
      </c>
    </row>
    <row r="111" ht="15.75" customHeight="1">
      <c r="C111" s="394" t="s">
        <v>497</v>
      </c>
      <c r="D111" s="402">
        <f>'Development Comps'!M57</f>
        <v>0.002079227248</v>
      </c>
      <c r="E111" s="35" t="s">
        <v>496</v>
      </c>
    </row>
    <row r="112" ht="15.75" customHeight="1">
      <c r="C112" s="394" t="s">
        <v>498</v>
      </c>
      <c r="D112" s="402">
        <f>'Development Comps'!M58</f>
        <v>0.002809116163</v>
      </c>
      <c r="E112" s="35" t="s">
        <v>496</v>
      </c>
    </row>
    <row r="113" ht="15.75" customHeight="1">
      <c r="C113" s="394"/>
      <c r="D113" s="407" t="s">
        <v>297</v>
      </c>
    </row>
    <row r="114" ht="15.75" customHeight="1"/>
    <row r="115" ht="15.75" customHeight="1">
      <c r="B115" s="371"/>
      <c r="C115" s="371" t="s">
        <v>499</v>
      </c>
      <c r="D115" s="371"/>
      <c r="E115" s="371"/>
    </row>
    <row r="116" ht="15.75" customHeight="1">
      <c r="C116" s="35" t="s">
        <v>500</v>
      </c>
      <c r="D116" s="379">
        <v>0.01</v>
      </c>
      <c r="E116" s="35" t="s">
        <v>501</v>
      </c>
    </row>
    <row r="117" ht="15.75" customHeight="1">
      <c r="C117" s="35" t="s">
        <v>502</v>
      </c>
      <c r="D117" s="379">
        <v>0.01</v>
      </c>
      <c r="E117" s="35" t="s">
        <v>503</v>
      </c>
    </row>
    <row r="118" ht="15.75" customHeight="1">
      <c r="C118" s="35" t="s">
        <v>114</v>
      </c>
      <c r="D118" s="397">
        <f>'Loan Sizing (P1B)'!D19+'Loan Sizing (P1B)'!D41</f>
        <v>1388875.039</v>
      </c>
      <c r="E118" s="35" t="s">
        <v>504</v>
      </c>
    </row>
    <row r="119" ht="15.75" customHeight="1">
      <c r="C119" s="35" t="s">
        <v>505</v>
      </c>
      <c r="D119" s="379">
        <f>'Development Comps'!M62</f>
        <v>0.003326556861</v>
      </c>
      <c r="E119" s="35" t="s">
        <v>496</v>
      </c>
    </row>
    <row r="120" ht="15.75" customHeight="1">
      <c r="C120" s="35" t="s">
        <v>506</v>
      </c>
      <c r="D120" s="379">
        <v>0.0</v>
      </c>
      <c r="E120" s="35" t="s">
        <v>464</v>
      </c>
    </row>
    <row r="121" ht="15.75" customHeight="1">
      <c r="C121" s="35" t="s">
        <v>117</v>
      </c>
      <c r="D121" s="397">
        <f>'Development Comps'!C81</f>
        <v>75000</v>
      </c>
      <c r="E121" s="35" t="s">
        <v>464</v>
      </c>
    </row>
    <row r="122" ht="15.75" customHeight="1">
      <c r="C122" s="35" t="s">
        <v>118</v>
      </c>
      <c r="D122" s="397">
        <f>'Development Comps'!L65*unit</f>
        <v>83608.87097</v>
      </c>
      <c r="E122" s="35" t="s">
        <v>507</v>
      </c>
    </row>
    <row r="123" ht="15.75" customHeight="1">
      <c r="C123" s="377" t="s">
        <v>508</v>
      </c>
      <c r="D123" s="397">
        <v>2000.0</v>
      </c>
    </row>
    <row r="124" ht="15.75" customHeight="1">
      <c r="C124" s="377" t="s">
        <v>509</v>
      </c>
      <c r="D124" s="397">
        <f>20000</f>
        <v>20000</v>
      </c>
      <c r="E124" s="35" t="s">
        <v>501</v>
      </c>
    </row>
    <row r="125" ht="15.75" customHeight="1">
      <c r="C125" s="377" t="s">
        <v>510</v>
      </c>
      <c r="D125" s="397">
        <f>500</f>
        <v>500</v>
      </c>
      <c r="E125" s="35" t="s">
        <v>501</v>
      </c>
    </row>
    <row r="126" ht="15.75" customHeight="1">
      <c r="C126" s="377" t="s">
        <v>511</v>
      </c>
      <c r="D126" s="397">
        <f>'Development Comps'!L66*unit</f>
        <v>194153.9726</v>
      </c>
      <c r="E126" s="35" t="s">
        <v>507</v>
      </c>
    </row>
    <row r="127" ht="15.75" customHeight="1"/>
    <row r="128" ht="15.75" customHeight="1">
      <c r="B128" s="371"/>
      <c r="C128" s="371" t="s">
        <v>512</v>
      </c>
      <c r="D128" s="371"/>
      <c r="E128" s="371"/>
    </row>
    <row r="129" ht="15.75" customHeight="1">
      <c r="C129" s="35" t="s">
        <v>513</v>
      </c>
      <c r="D129" s="379">
        <v>0.01</v>
      </c>
      <c r="E129" s="35" t="s">
        <v>503</v>
      </c>
    </row>
    <row r="130" ht="15.75" customHeight="1">
      <c r="C130" s="35" t="s">
        <v>120</v>
      </c>
      <c r="D130" s="397">
        <f>MIN(55*unit,5000)</f>
        <v>5000</v>
      </c>
      <c r="E130" s="35" t="s">
        <v>459</v>
      </c>
    </row>
    <row r="131" ht="15.75" customHeight="1">
      <c r="C131" s="35" t="s">
        <v>514</v>
      </c>
      <c r="D131" s="379">
        <v>0.05</v>
      </c>
      <c r="E131" s="35" t="s">
        <v>459</v>
      </c>
    </row>
    <row r="132" ht="15.75" customHeight="1">
      <c r="C132" s="35" t="s">
        <v>515</v>
      </c>
      <c r="D132" s="379">
        <v>0.025</v>
      </c>
      <c r="E132" s="35" t="s">
        <v>459</v>
      </c>
    </row>
    <row r="133" ht="15.75" customHeight="1">
      <c r="C133" s="35" t="s">
        <v>122</v>
      </c>
      <c r="D133" s="397">
        <v>2500.0</v>
      </c>
      <c r="E133" s="35" t="s">
        <v>459</v>
      </c>
    </row>
    <row r="134" ht="15.75" customHeight="1">
      <c r="C134" s="35" t="s">
        <v>516</v>
      </c>
      <c r="D134" s="397">
        <v>50000.0</v>
      </c>
      <c r="E134" s="35" t="s">
        <v>517</v>
      </c>
    </row>
    <row r="135" ht="15.75" customHeight="1">
      <c r="C135" s="35" t="s">
        <v>125</v>
      </c>
      <c r="D135" s="397">
        <f>'Development Comps'!K87</f>
        <v>32500</v>
      </c>
      <c r="E135" s="35" t="s">
        <v>496</v>
      </c>
    </row>
    <row r="136" ht="15.75" customHeight="1">
      <c r="C136" s="35" t="s">
        <v>126</v>
      </c>
      <c r="D136" s="397">
        <v>10000.0</v>
      </c>
      <c r="E136" s="35" t="s">
        <v>518</v>
      </c>
    </row>
    <row r="137" ht="15.75" customHeight="1">
      <c r="C137" s="35" t="s">
        <v>127</v>
      </c>
      <c r="D137" s="397">
        <v>20000.0</v>
      </c>
      <c r="E137" s="35" t="s">
        <v>518</v>
      </c>
    </row>
    <row r="138" ht="15.75" customHeight="1">
      <c r="C138" s="35" t="s">
        <v>519</v>
      </c>
      <c r="D138" s="378">
        <v>0.05</v>
      </c>
      <c r="E138" s="35" t="s">
        <v>464</v>
      </c>
    </row>
    <row r="139" ht="15.75" customHeight="1">
      <c r="C139" s="377" t="s">
        <v>520</v>
      </c>
      <c r="D139" s="397">
        <v>20000.0</v>
      </c>
      <c r="E139" s="35" t="s">
        <v>503</v>
      </c>
    </row>
    <row r="140" ht="15.75" customHeight="1">
      <c r="C140" s="377" t="s">
        <v>521</v>
      </c>
      <c r="D140" s="397">
        <v>500.0</v>
      </c>
      <c r="E140" s="35" t="s">
        <v>503</v>
      </c>
    </row>
    <row r="141" ht="15.75" customHeight="1">
      <c r="C141" s="377" t="s">
        <v>522</v>
      </c>
      <c r="D141" s="397">
        <v>600.0</v>
      </c>
      <c r="E141" s="35" t="s">
        <v>459</v>
      </c>
    </row>
    <row r="142" ht="15.75" customHeight="1"/>
    <row r="143" ht="15.75" customHeight="1">
      <c r="B143" s="371"/>
      <c r="C143" s="371" t="s">
        <v>53</v>
      </c>
      <c r="D143" s="371"/>
      <c r="E143" s="371"/>
    </row>
    <row r="144" ht="15.75" customHeight="1">
      <c r="C144" s="35" t="s">
        <v>130</v>
      </c>
      <c r="D144" s="397">
        <f>'Development Comps'!K77</f>
        <v>8750</v>
      </c>
      <c r="E144" s="35" t="s">
        <v>496</v>
      </c>
    </row>
    <row r="145" ht="15.75" customHeight="1">
      <c r="C145" s="35" t="s">
        <v>131</v>
      </c>
      <c r="D145" s="397">
        <f>'Development Comps'!K78</f>
        <v>7250</v>
      </c>
      <c r="E145" s="35" t="s">
        <v>496</v>
      </c>
    </row>
    <row r="146" ht="15.75" customHeight="1">
      <c r="C146" s="35" t="s">
        <v>132</v>
      </c>
      <c r="D146" s="397">
        <f>'Development Comps'!K79</f>
        <v>12500</v>
      </c>
      <c r="E146" s="35" t="s">
        <v>496</v>
      </c>
    </row>
    <row r="147" ht="15.75" customHeight="1">
      <c r="C147" s="35" t="s">
        <v>133</v>
      </c>
      <c r="D147" s="397">
        <f>'Development Comps'!K80</f>
        <v>10700</v>
      </c>
      <c r="E147" s="35" t="s">
        <v>496</v>
      </c>
    </row>
    <row r="148" ht="15.75" customHeight="1">
      <c r="C148" s="35" t="s">
        <v>523</v>
      </c>
      <c r="D148" s="397">
        <v>500.0</v>
      </c>
      <c r="E148" s="35" t="s">
        <v>518</v>
      </c>
    </row>
    <row r="149" ht="15.75" customHeight="1">
      <c r="C149" s="35" t="s">
        <v>135</v>
      </c>
      <c r="D149" s="397">
        <f>'Development Comps'!K91</f>
        <v>97500</v>
      </c>
      <c r="E149" s="35" t="s">
        <v>496</v>
      </c>
    </row>
    <row r="150" ht="15.75" customHeight="1">
      <c r="C150" s="35" t="s">
        <v>136</v>
      </c>
      <c r="D150" s="397">
        <f>'Development Comps'!K86</f>
        <v>37437.5</v>
      </c>
      <c r="E150" s="35" t="s">
        <v>496</v>
      </c>
    </row>
    <row r="151" ht="15.75" customHeight="1">
      <c r="C151" s="394" t="s">
        <v>524</v>
      </c>
      <c r="D151" s="397">
        <v>20000.0</v>
      </c>
    </row>
    <row r="152" ht="15.75" customHeight="1">
      <c r="C152" s="394" t="s">
        <v>525</v>
      </c>
      <c r="D152" s="397">
        <v>15000.0</v>
      </c>
    </row>
    <row r="153" ht="15.75" customHeight="1">
      <c r="C153" s="394" t="s">
        <v>526</v>
      </c>
      <c r="D153" s="397">
        <v>15000.0</v>
      </c>
    </row>
    <row r="154" ht="15.75" customHeight="1"/>
    <row r="155" ht="15.75" customHeight="1">
      <c r="B155" s="371"/>
      <c r="C155" s="371" t="s">
        <v>54</v>
      </c>
      <c r="D155" s="371"/>
      <c r="E155" s="371"/>
    </row>
    <row r="156" ht="15.75" customHeight="1">
      <c r="C156" s="35" t="s">
        <v>527</v>
      </c>
      <c r="D156" s="397">
        <v>40000.0</v>
      </c>
      <c r="E156" s="35" t="s">
        <v>528</v>
      </c>
    </row>
    <row r="157" ht="15.75" customHeight="1">
      <c r="C157" s="35" t="s">
        <v>102</v>
      </c>
      <c r="D157" s="397">
        <v>0.0</v>
      </c>
    </row>
    <row r="158" ht="15.0" customHeight="1">
      <c r="D158" s="408"/>
      <c r="E158" s="380"/>
    </row>
    <row r="159" ht="15.75" customHeight="1">
      <c r="B159" s="371"/>
      <c r="C159" s="371" t="s">
        <v>55</v>
      </c>
      <c r="D159" s="371"/>
      <c r="E159" s="371"/>
    </row>
    <row r="160" ht="15.75" customHeight="1">
      <c r="C160" s="35" t="s">
        <v>529</v>
      </c>
      <c r="D160" s="377">
        <v>6.0</v>
      </c>
      <c r="E160" s="35" t="s">
        <v>479</v>
      </c>
    </row>
    <row r="161" ht="15.75" customHeight="1">
      <c r="C161" s="35" t="s">
        <v>530</v>
      </c>
      <c r="D161" s="397">
        <f>D83</f>
        <v>250</v>
      </c>
      <c r="E161" s="35" t="s">
        <v>466</v>
      </c>
    </row>
    <row r="162" ht="15.75" customHeight="1">
      <c r="C162" s="35" t="s">
        <v>531</v>
      </c>
      <c r="D162" s="377">
        <v>3.0</v>
      </c>
    </row>
    <row r="163" ht="15.75" customHeight="1">
      <c r="C163" s="35" t="s">
        <v>532</v>
      </c>
      <c r="D163" s="377">
        <v>3.0</v>
      </c>
    </row>
    <row r="164" ht="15.75" customHeight="1">
      <c r="C164" s="35" t="s">
        <v>533</v>
      </c>
      <c r="D164" s="377">
        <v>3.0</v>
      </c>
      <c r="E164" s="35"/>
    </row>
    <row r="165" ht="15.75" customHeight="1">
      <c r="C165" s="35" t="s">
        <v>534</v>
      </c>
      <c r="D165" s="397">
        <v>0.0</v>
      </c>
      <c r="E165" s="35" t="s">
        <v>535</v>
      </c>
    </row>
    <row r="166" ht="15.75" customHeight="1">
      <c r="C166" s="35" t="s">
        <v>102</v>
      </c>
      <c r="D166" s="397">
        <v>0.0</v>
      </c>
    </row>
    <row r="167" ht="15.75" customHeight="1">
      <c r="C167" s="35" t="s">
        <v>102</v>
      </c>
      <c r="D167" s="397">
        <v>0.0</v>
      </c>
    </row>
    <row r="168" ht="15.75" customHeight="1">
      <c r="C168" s="35" t="s">
        <v>102</v>
      </c>
      <c r="D168" s="397">
        <v>0.0</v>
      </c>
    </row>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E1"/>
  </mergeCells>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9"/>
    <pageSetUpPr/>
  </sheetPr>
  <sheetViews>
    <sheetView workbookViewId="0"/>
  </sheetViews>
  <sheetFormatPr customHeight="1" defaultColWidth="12.63" defaultRowHeight="15.0"/>
  <cols>
    <col customWidth="1" min="1" max="9" width="10.63"/>
  </cols>
  <sheetData>
    <row r="1" ht="13.5" customHeight="1"/>
    <row r="2" ht="13.5" customHeight="1">
      <c r="B2" s="35" t="s">
        <v>42</v>
      </c>
    </row>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c r="I14" s="58"/>
    </row>
    <row r="15" ht="13.5" customHeight="1">
      <c r="I15" s="35"/>
    </row>
    <row r="16" ht="13.5" customHeight="1">
      <c r="I16" s="35"/>
    </row>
    <row r="17" ht="13.5" customHeight="1">
      <c r="I17" s="35"/>
    </row>
    <row r="18" ht="13.5" customHeight="1">
      <c r="I18" s="35"/>
    </row>
    <row r="19" ht="13.5" customHeight="1">
      <c r="I19" s="35"/>
    </row>
    <row r="20" ht="13.5" customHeight="1">
      <c r="I20" s="35"/>
    </row>
    <row r="21" ht="13.5" customHeight="1">
      <c r="I21" s="35"/>
    </row>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